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rolina\Documents\ESALQ\Graduação\2021\SEGUNDO SEMESTRE\Inventário\"/>
    </mc:Choice>
  </mc:AlternateContent>
  <bookViews>
    <workbookView xWindow="0" yWindow="0" windowWidth="20490" windowHeight="7650" tabRatio="500" firstSheet="1" activeTab="2"/>
  </bookViews>
  <sheets>
    <sheet name="Dados" sheetId="1" r:id="rId1"/>
    <sheet name="1) Estimador de Regressão" sheetId="2" r:id="rId2"/>
    <sheet name="Am. Aleatória SImples" sheetId="4" r:id="rId3"/>
    <sheet name="Est. de Regressão" sheetId="5" r:id="rId4"/>
    <sheet name="2) Estimadores Regressao x Raza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5" l="1"/>
  <c r="D80" i="5"/>
  <c r="D81" i="5"/>
  <c r="D78" i="5"/>
  <c r="C75" i="5"/>
  <c r="K12" i="1"/>
  <c r="K13" i="1"/>
  <c r="K14" i="1"/>
  <c r="K15" i="1"/>
  <c r="K16" i="1"/>
  <c r="K17" i="1"/>
  <c r="K18" i="1"/>
  <c r="K19" i="1"/>
  <c r="K20" i="1"/>
  <c r="K21" i="1"/>
  <c r="K22" i="1"/>
  <c r="K23" i="1"/>
  <c r="K11" i="1"/>
  <c r="K10" i="1"/>
  <c r="J13" i="1" s="1"/>
  <c r="J11" i="1"/>
  <c r="J12" i="1"/>
  <c r="J18" i="1"/>
  <c r="J19" i="1"/>
  <c r="J20" i="1"/>
  <c r="J17" i="1" l="1"/>
  <c r="J10" i="1"/>
  <c r="J16" i="1"/>
  <c r="J23" i="1"/>
  <c r="J15" i="1"/>
  <c r="J22" i="1"/>
  <c r="J14" i="1"/>
  <c r="J21" i="1"/>
  <c r="D40" i="5"/>
  <c r="D41" i="5"/>
  <c r="D42" i="5"/>
  <c r="D39" i="5"/>
  <c r="C36" i="5"/>
  <c r="C142" i="5"/>
  <c r="C63" i="5"/>
  <c r="C64" i="5" s="1"/>
  <c r="C25" i="5"/>
  <c r="C24" i="5"/>
  <c r="C18" i="5"/>
  <c r="C10" i="5"/>
  <c r="C61" i="5"/>
  <c r="C59" i="5"/>
  <c r="I52" i="5"/>
  <c r="H54" i="5"/>
  <c r="H55" i="5"/>
  <c r="H56" i="5"/>
  <c r="I57" i="5"/>
  <c r="H62" i="5"/>
  <c r="I50" i="5"/>
  <c r="I51" i="5"/>
  <c r="I53" i="5"/>
  <c r="I56" i="5"/>
  <c r="I58" i="5"/>
  <c r="I59" i="5"/>
  <c r="I60" i="5"/>
  <c r="I61" i="5"/>
  <c r="I49" i="5"/>
  <c r="H50" i="5"/>
  <c r="H51" i="5"/>
  <c r="H52" i="5"/>
  <c r="H53" i="5"/>
  <c r="H58" i="5"/>
  <c r="H59" i="5"/>
  <c r="H60" i="5"/>
  <c r="H61" i="5"/>
  <c r="H49" i="5"/>
  <c r="C48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D158" i="5"/>
  <c r="D159" i="5"/>
  <c r="D157" i="5"/>
  <c r="D156" i="5"/>
  <c r="C153" i="5"/>
  <c r="C130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9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27" i="5"/>
  <c r="H128" i="5"/>
  <c r="C132" i="5" s="1"/>
  <c r="H129" i="5"/>
  <c r="H130" i="5"/>
  <c r="H131" i="5"/>
  <c r="H132" i="5"/>
  <c r="H133" i="5"/>
  <c r="H134" i="5"/>
  <c r="H135" i="5"/>
  <c r="H136" i="5"/>
  <c r="H137" i="5"/>
  <c r="H138" i="5"/>
  <c r="H139" i="5"/>
  <c r="H140" i="5"/>
  <c r="H127" i="5"/>
  <c r="C127" i="5"/>
  <c r="C126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C87" i="5"/>
  <c r="I101" i="5"/>
  <c r="H101" i="5"/>
  <c r="G101" i="5"/>
  <c r="I100" i="5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G96" i="5"/>
  <c r="I95" i="5"/>
  <c r="H95" i="5"/>
  <c r="G95" i="5"/>
  <c r="I94" i="5"/>
  <c r="H94" i="5"/>
  <c r="G94" i="5"/>
  <c r="I93" i="5"/>
  <c r="C94" i="5" s="1"/>
  <c r="C96" i="5" s="1"/>
  <c r="H93" i="5"/>
  <c r="G93" i="5"/>
  <c r="I92" i="5"/>
  <c r="H92" i="5"/>
  <c r="G92" i="5"/>
  <c r="I91" i="5"/>
  <c r="H91" i="5"/>
  <c r="G91" i="5"/>
  <c r="C91" i="5"/>
  <c r="I90" i="5"/>
  <c r="H90" i="5"/>
  <c r="G90" i="5"/>
  <c r="I89" i="5"/>
  <c r="H89" i="5"/>
  <c r="G89" i="5"/>
  <c r="I88" i="5"/>
  <c r="H88" i="5"/>
  <c r="C93" i="5" s="1"/>
  <c r="C98" i="5" s="1"/>
  <c r="C103" i="5" s="1"/>
  <c r="C107" i="5" s="1"/>
  <c r="C108" i="5" s="1"/>
  <c r="G88" i="5"/>
  <c r="C88" i="5"/>
  <c r="C13" i="5"/>
  <c r="C12" i="5"/>
  <c r="C9" i="5"/>
  <c r="C11" i="4"/>
  <c r="C10" i="4"/>
  <c r="C52" i="5" l="1"/>
  <c r="H57" i="5"/>
  <c r="C54" i="5" s="1"/>
  <c r="I55" i="5"/>
  <c r="C49" i="5"/>
  <c r="I62" i="5"/>
  <c r="I54" i="5"/>
  <c r="C14" i="5"/>
  <c r="C16" i="5"/>
  <c r="C133" i="5"/>
  <c r="C135" i="5" s="1"/>
  <c r="C100" i="5"/>
  <c r="C15" i="5"/>
  <c r="C55" i="5" l="1"/>
  <c r="C57" i="5" s="1"/>
  <c r="C139" i="5"/>
  <c r="C137" i="5"/>
  <c r="C146" i="5" s="1"/>
  <c r="C147" i="5" s="1"/>
  <c r="C20" i="5"/>
  <c r="C22" i="5" l="1"/>
  <c r="C29" i="5"/>
  <c r="C30" i="5" s="1"/>
  <c r="C68" i="5" l="1"/>
  <c r="C69" i="5" s="1"/>
</calcChain>
</file>

<file path=xl/sharedStrings.xml><?xml version="1.0" encoding="utf-8"?>
<sst xmlns="http://schemas.openxmlformats.org/spreadsheetml/2006/main" count="248" uniqueCount="82">
  <si>
    <t>Dados para os Exercícios que se seguem: Compartimentos em Floresta Nativa</t>
  </si>
  <si>
    <t>Compartimento: 350 x 700 m</t>
  </si>
  <si>
    <t>Área total do Compartimento: 24,5 ha</t>
  </si>
  <si>
    <t>Censo das árvores com DAP maior que 50cm: área basal média = 5,180449 m2/ha</t>
  </si>
  <si>
    <t>Amostra das árvores com DAP maior que 20cm</t>
  </si>
  <si>
    <t>Amostra de 14 faixas de 350 x 10 m</t>
  </si>
  <si>
    <t>Tamano da População: N = 700 / 10 = 70</t>
  </si>
  <si>
    <t>Parcela</t>
  </si>
  <si>
    <t>Número de Árvores</t>
  </si>
  <si>
    <t>Área Basal DAP &gt;= 20 cm (m2/ha)</t>
  </si>
  <si>
    <t>DAP médio (cm)</t>
  </si>
  <si>
    <t>Produção (m3/ha)</t>
  </si>
  <si>
    <t>Área Basal DAP &gt;= 50 cm (m2/ha)</t>
  </si>
  <si>
    <t>Utilizando a área basal das árvores com DAP maior que 50cm, utilize o estimador de regressão para obter a média e o intervalo de confiança de 95% para seguintes variáveis</t>
  </si>
  <si>
    <t>1.1.) Número de Árvores por Hectare</t>
  </si>
  <si>
    <t>1.2.) DAP médio (cm)</t>
  </si>
  <si>
    <t>1.3.) DAP médio quadrático (cm)</t>
  </si>
  <si>
    <t>1.4.) Produção de madeira (m3/ha)</t>
  </si>
  <si>
    <t>1.5.) Encontre o tamanho de amostra necessário para erro amostral de 5% (com 95% de probabilidade) para cada uma dessas variáveis.</t>
  </si>
  <si>
    <t>Dentre as variáveis apresentadas nos dados, existe alguma em que o estimador de RAZÃO seria mais apropriado que o estimador de Regressão?  Demonstre e explique sua resposta.</t>
  </si>
  <si>
    <t>Compartimento de Manejo</t>
  </si>
  <si>
    <t>Área do Compartimento</t>
  </si>
  <si>
    <t xml:space="preserve"> S = </t>
  </si>
  <si>
    <t>ha</t>
  </si>
  <si>
    <t>Tamanho da População</t>
  </si>
  <si>
    <t>N =</t>
  </si>
  <si>
    <t>Tamanho médio de parcela</t>
  </si>
  <si>
    <t>mu_x =</t>
  </si>
  <si>
    <t>Área Basal Média do Compartimento (DAP &gt;= 20)</t>
  </si>
  <si>
    <t>Tamanho da Amostra</t>
  </si>
  <si>
    <t>n=</t>
  </si>
  <si>
    <t>Média – área basal DAP &gt;= 20</t>
  </si>
  <si>
    <t>mu =</t>
  </si>
  <si>
    <t>m2/ha</t>
  </si>
  <si>
    <t>Variância</t>
  </si>
  <si>
    <t>S^2 =</t>
  </si>
  <si>
    <t>(m2/ha)^2</t>
  </si>
  <si>
    <t>Variância da Média</t>
  </si>
  <si>
    <t>Cor. Pop. Finita =</t>
  </si>
  <si>
    <t>Var( mu ) =</t>
  </si>
  <si>
    <t>Estatística t</t>
  </si>
  <si>
    <t>t =</t>
  </si>
  <si>
    <t>Erro Amostral</t>
  </si>
  <si>
    <t>%</t>
  </si>
  <si>
    <t>Tamanho de Amostra Adequado</t>
  </si>
  <si>
    <t>Erro Amostral Desejado</t>
  </si>
  <si>
    <t>E_% =</t>
  </si>
  <si>
    <t>Coeficiente de Variação</t>
  </si>
  <si>
    <t>V_% =</t>
  </si>
  <si>
    <t>Iteração</t>
  </si>
  <si>
    <t>t</t>
  </si>
  <si>
    <t>n*</t>
  </si>
  <si>
    <t>parcela</t>
  </si>
  <si>
    <t>x_i^2</t>
  </si>
  <si>
    <t>y_i^2</t>
  </si>
  <si>
    <t>x_i y_i</t>
  </si>
  <si>
    <t>Área Basal Média (DAP &gt;= 50)</t>
  </si>
  <si>
    <t>n =</t>
  </si>
  <si>
    <t>X – área basal DAP &gt;= 50</t>
  </si>
  <si>
    <t>mu_x.hat =</t>
  </si>
  <si>
    <t>mu_y.hat =</t>
  </si>
  <si>
    <t>Soma( x_i ) =</t>
  </si>
  <si>
    <t>Soma( y_i ) =</t>
  </si>
  <si>
    <t>Soma(x_i^2) =</t>
  </si>
  <si>
    <t>Soma(y_i^2) =</t>
  </si>
  <si>
    <t>Soma(x_i y_i) =</t>
  </si>
  <si>
    <t>Beta =</t>
  </si>
  <si>
    <t>Variância Populacional</t>
  </si>
  <si>
    <t>s^2_L =</t>
  </si>
  <si>
    <t>Estimativa da Média de Y</t>
  </si>
  <si>
    <t>mu_L =</t>
  </si>
  <si>
    <t>Var( mu_L ) =</t>
  </si>
  <si>
    <t>Erro Amostral %</t>
  </si>
  <si>
    <t>Y – número de árvores por hectare</t>
  </si>
  <si>
    <t>árvores/há</t>
  </si>
  <si>
    <t>Y – DAP médio</t>
  </si>
  <si>
    <t>cm</t>
  </si>
  <si>
    <t>Y – DAP médio quadrático</t>
  </si>
  <si>
    <t>1.4.) Produção de Madeira (m³/ha)</t>
  </si>
  <si>
    <t>Y – Produção de Madeira</t>
  </si>
  <si>
    <t>m³/ha</t>
  </si>
  <si>
    <t>3500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</si>
</sst>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3" x14ac:knownFonts="1">
    <font>
      <sz val="10"/>
      <name val="Arial"/>
      <family val="2"/>
    </font>
    <font>
      <b/>
      <i/>
      <sz val="1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Área Basal x DAP</a:t>
            </a:r>
            <a:r>
              <a:rPr lang="pt-BR" baseline="0"/>
              <a:t> médio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Raza'!$N$21:$N$34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xVal>
          <c:yVal>
            <c:numRef>
              <c:f>'2) Estimadores Regressao x Raza'!$O$21:$O$34</c:f>
              <c:numCache>
                <c:formatCode>General</c:formatCode>
                <c:ptCount val="14"/>
                <c:pt idx="0">
                  <c:v>31.4</c:v>
                </c:pt>
                <c:pt idx="1">
                  <c:v>27.38</c:v>
                </c:pt>
                <c:pt idx="2">
                  <c:v>29.59</c:v>
                </c:pt>
                <c:pt idx="3">
                  <c:v>26.68</c:v>
                </c:pt>
                <c:pt idx="4">
                  <c:v>25.01</c:v>
                </c:pt>
                <c:pt idx="5">
                  <c:v>25.51</c:v>
                </c:pt>
                <c:pt idx="6">
                  <c:v>28.08</c:v>
                </c:pt>
                <c:pt idx="7">
                  <c:v>34.57</c:v>
                </c:pt>
                <c:pt idx="8">
                  <c:v>27.97</c:v>
                </c:pt>
                <c:pt idx="9">
                  <c:v>29.37</c:v>
                </c:pt>
                <c:pt idx="10">
                  <c:v>32.770000000000003</c:v>
                </c:pt>
                <c:pt idx="11">
                  <c:v>32.93</c:v>
                </c:pt>
                <c:pt idx="12">
                  <c:v>25.8</c:v>
                </c:pt>
                <c:pt idx="13">
                  <c:v>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24-45C5-9DFB-DA183503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217808"/>
        <c:axId val="1623216976"/>
      </c:scatterChart>
      <c:valAx>
        <c:axId val="16232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Área Basal DAP &gt;=50 cm (m²/ha)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3216976"/>
        <c:crosses val="autoZero"/>
        <c:crossBetween val="midCat"/>
      </c:valAx>
      <c:valAx>
        <c:axId val="16232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DAP</a:t>
                </a:r>
                <a:r>
                  <a:rPr lang="pt-BR" baseline="0"/>
                  <a:t> médio (cm)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3217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Área Basal x N° de Árvores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781538781975003E-2"/>
          <c:y val="0.13527149839932254"/>
          <c:w val="0.8838635170603674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Raza'!$N$39:$N$52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xVal>
          <c:yVal>
            <c:numRef>
              <c:f>'2) Estimadores Regressao x Raza'!$O$39:$O$52</c:f>
              <c:numCache>
                <c:formatCode>General</c:formatCode>
                <c:ptCount val="14"/>
                <c:pt idx="0">
                  <c:v>162.86000000000001</c:v>
                </c:pt>
                <c:pt idx="1">
                  <c:v>125.71</c:v>
                </c:pt>
                <c:pt idx="2">
                  <c:v>151.43</c:v>
                </c:pt>
                <c:pt idx="3">
                  <c:v>140</c:v>
                </c:pt>
                <c:pt idx="4">
                  <c:v>140</c:v>
                </c:pt>
                <c:pt idx="5">
                  <c:v>111.43</c:v>
                </c:pt>
                <c:pt idx="6">
                  <c:v>137.13999999999999</c:v>
                </c:pt>
                <c:pt idx="7">
                  <c:v>131.43</c:v>
                </c:pt>
                <c:pt idx="8">
                  <c:v>165.71</c:v>
                </c:pt>
                <c:pt idx="9">
                  <c:v>145.71</c:v>
                </c:pt>
                <c:pt idx="10">
                  <c:v>140</c:v>
                </c:pt>
                <c:pt idx="11">
                  <c:v>137.13999999999999</c:v>
                </c:pt>
                <c:pt idx="12">
                  <c:v>165.71</c:v>
                </c:pt>
                <c:pt idx="13">
                  <c:v>94.29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59-44B5-8B54-74C8D7CD3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973344"/>
        <c:axId val="1566972512"/>
      </c:scatterChart>
      <c:valAx>
        <c:axId val="156697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Área Basal DAP&gt;=50 cm (m²/ha)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6972512"/>
        <c:crosses val="autoZero"/>
        <c:crossBetween val="midCat"/>
      </c:valAx>
      <c:valAx>
        <c:axId val="15669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Número de Árvores</a:t>
                </a:r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6973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Área Basal x Produção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Raza'!$N$4:$N$17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xVal>
          <c:yVal>
            <c:numRef>
              <c:f>'2) Estimadores Regressao x Raza'!$O$4:$O$17</c:f>
              <c:numCache>
                <c:formatCode>General</c:formatCode>
                <c:ptCount val="14"/>
                <c:pt idx="0">
                  <c:v>187.22</c:v>
                </c:pt>
                <c:pt idx="1">
                  <c:v>80</c:v>
                </c:pt>
                <c:pt idx="2">
                  <c:v>137.61000000000001</c:v>
                </c:pt>
                <c:pt idx="3">
                  <c:v>83.77</c:v>
                </c:pt>
                <c:pt idx="4">
                  <c:v>73.010000000000005</c:v>
                </c:pt>
                <c:pt idx="5">
                  <c:v>71.63</c:v>
                </c:pt>
                <c:pt idx="6">
                  <c:v>106.25</c:v>
                </c:pt>
                <c:pt idx="7">
                  <c:v>192.63</c:v>
                </c:pt>
                <c:pt idx="8">
                  <c:v>107.8</c:v>
                </c:pt>
                <c:pt idx="9">
                  <c:v>116.93</c:v>
                </c:pt>
                <c:pt idx="10">
                  <c:v>146.16</c:v>
                </c:pt>
                <c:pt idx="11">
                  <c:v>152.77000000000001</c:v>
                </c:pt>
                <c:pt idx="12">
                  <c:v>85.49</c:v>
                </c:pt>
                <c:pt idx="13">
                  <c:v>66.84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67-4FC9-A661-994D29631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118464"/>
        <c:axId val="1560121792"/>
      </c:scatterChart>
      <c:valAx>
        <c:axId val="15601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Área</a:t>
                </a:r>
                <a:r>
                  <a:rPr lang="pt-BR" baseline="0"/>
                  <a:t> Basal DAP &gt;= 50 cm (m²/ha)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0121792"/>
        <c:crosses val="autoZero"/>
        <c:crossBetween val="midCat"/>
      </c:valAx>
      <c:valAx>
        <c:axId val="156012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Produção</a:t>
                </a:r>
                <a:r>
                  <a:rPr lang="pt-BR" baseline="0"/>
                  <a:t> (m³/ha)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0118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484026</xdr:colOff>
      <xdr:row>19</xdr:row>
      <xdr:rowOff>164063</xdr:rowOff>
    </xdr:from>
    <xdr:to>
      <xdr:col>12</xdr:col>
      <xdr:colOff>449036</xdr:colOff>
      <xdr:row>34</xdr:row>
      <xdr:rowOff>108080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F46049-EC33-4742-892F-0365FBCE4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174949</xdr:colOff>
      <xdr:row>37</xdr:row>
      <xdr:rowOff>154344</xdr:rowOff>
    </xdr:from>
    <xdr:to>
      <xdr:col>12</xdr:col>
      <xdr:colOff>505408</xdr:colOff>
      <xdr:row>52</xdr:row>
      <xdr:rowOff>98360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457705-4542-40D8-A60E-E4516BAD5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484026</xdr:colOff>
      <xdr:row>2</xdr:row>
      <xdr:rowOff>105747</xdr:rowOff>
    </xdr:from>
    <xdr:to>
      <xdr:col>12</xdr:col>
      <xdr:colOff>449036</xdr:colOff>
      <xdr:row>17</xdr:row>
      <xdr:rowOff>49764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36852AF-49B8-4434-98EB-2844B8E9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359617</xdr:colOff>
      <xdr:row>18</xdr:row>
      <xdr:rowOff>87474</xdr:rowOff>
    </xdr:from>
    <xdr:to>
      <xdr:col>5</xdr:col>
      <xdr:colOff>174949</xdr:colOff>
      <xdr:row>31</xdr:row>
      <xdr:rowOff>9719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6D91F24-42AA-4956-B386-1685FB36C5FD}"/>
            </a:ext>
          </a:extLst>
        </xdr:cNvPr>
        <xdr:cNvSpPr/>
      </xdr:nvSpPr>
      <xdr:spPr bwMode="auto">
        <a:xfrm>
          <a:off x="359617" y="3547576"/>
          <a:ext cx="3644771" cy="222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De acordo com os gráficos</a:t>
          </a:r>
          <a:r>
            <a:rPr lang="pt-BR" sz="1100" baseline="0"/>
            <a:t> criados entre as variáveis de cada estimador de regressão, podemos observar que nenhuma das linhas de tendência se direcionam para a origem e que a variância dos valores de Y não depende de X, não são proporcionais, o que revela que esses valores estão melhores ao utilizarmos estimadores de regressão do que estimadores de razão, que tem a linha de tendência passando pela origem e tem a variância de Y aumentenaod de acordo com o aumento de X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3" zoomScale="98" zoomScaleNormal="98" workbookViewId="0">
      <selection activeCell="I16" sqref="I16"/>
    </sheetView>
  </sheetViews>
  <sheetFormatPr defaultColWidth="11.5703125" defaultRowHeight="12.75" x14ac:dyDescent="0.2"/>
  <cols>
    <col min="10" max="10" width="14.570312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3" spans="1:11" x14ac:dyDescent="0.2">
      <c r="A3" t="s">
        <v>2</v>
      </c>
    </row>
    <row r="4" spans="1:11" x14ac:dyDescent="0.2">
      <c r="A4" t="s">
        <v>3</v>
      </c>
    </row>
    <row r="5" spans="1:11" x14ac:dyDescent="0.2">
      <c r="A5" t="s">
        <v>4</v>
      </c>
    </row>
    <row r="6" spans="1:11" x14ac:dyDescent="0.2">
      <c r="A6" t="s">
        <v>5</v>
      </c>
    </row>
    <row r="7" spans="1:11" x14ac:dyDescent="0.2">
      <c r="A7" t="s">
        <v>6</v>
      </c>
    </row>
    <row r="8" spans="1:11" x14ac:dyDescent="0.2">
      <c r="I8" t="s">
        <v>81</v>
      </c>
      <c r="J8">
        <v>0.35</v>
      </c>
    </row>
    <row r="9" spans="1:11" ht="38.25" x14ac:dyDescent="0.2"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I9" s="14"/>
    </row>
    <row r="10" spans="1:11" x14ac:dyDescent="0.2">
      <c r="B10" s="2">
        <v>1</v>
      </c>
      <c r="C10" s="2">
        <v>162.86000000000001</v>
      </c>
      <c r="D10" s="2">
        <v>17.89</v>
      </c>
      <c r="E10" s="2">
        <v>31.4</v>
      </c>
      <c r="F10" s="2">
        <v>187.22</v>
      </c>
      <c r="G10" s="2">
        <v>9.39</v>
      </c>
      <c r="J10">
        <f>ROUNDUP(E10*$K$10,0)</f>
        <v>1790</v>
      </c>
      <c r="K10">
        <f>ROUNDDOWN(C10*$J$8,0)</f>
        <v>57</v>
      </c>
    </row>
    <row r="11" spans="1:11" x14ac:dyDescent="0.2">
      <c r="B11" s="2">
        <v>2</v>
      </c>
      <c r="C11" s="2">
        <v>125.71</v>
      </c>
      <c r="D11" s="2">
        <v>9.08</v>
      </c>
      <c r="E11" s="2">
        <v>27.38</v>
      </c>
      <c r="F11" s="2">
        <v>80</v>
      </c>
      <c r="G11" s="2">
        <v>2.4700000000000002</v>
      </c>
      <c r="J11">
        <f t="shared" ref="J11:J23" si="0">ROUNDUP(E11*$K$10,0)</f>
        <v>1561</v>
      </c>
      <c r="K11">
        <f>ROUND(C11*$J$8,0)</f>
        <v>44</v>
      </c>
    </row>
    <row r="12" spans="1:11" x14ac:dyDescent="0.2">
      <c r="B12" s="2">
        <v>3</v>
      </c>
      <c r="C12" s="2">
        <v>151.43</v>
      </c>
      <c r="D12" s="2">
        <v>13.92</v>
      </c>
      <c r="E12" s="2">
        <v>29.59</v>
      </c>
      <c r="F12" s="2">
        <v>137.61000000000001</v>
      </c>
      <c r="G12" s="2">
        <v>6.4</v>
      </c>
      <c r="J12">
        <f t="shared" si="0"/>
        <v>1687</v>
      </c>
      <c r="K12">
        <f t="shared" ref="K12:K23" si="1">ROUND(C12*$J$8,0)</f>
        <v>53</v>
      </c>
    </row>
    <row r="13" spans="1:11" x14ac:dyDescent="0.2">
      <c r="B13" s="2">
        <v>4</v>
      </c>
      <c r="C13" s="2">
        <v>140</v>
      </c>
      <c r="D13" s="2">
        <v>9.58</v>
      </c>
      <c r="E13" s="2">
        <v>26.68</v>
      </c>
      <c r="F13" s="2">
        <v>83.77</v>
      </c>
      <c r="G13" s="2">
        <v>2.71</v>
      </c>
      <c r="J13">
        <f t="shared" si="0"/>
        <v>1521</v>
      </c>
      <c r="K13">
        <f t="shared" si="1"/>
        <v>49</v>
      </c>
    </row>
    <row r="14" spans="1:11" x14ac:dyDescent="0.2">
      <c r="B14" s="2">
        <v>5</v>
      </c>
      <c r="C14" s="2">
        <v>140</v>
      </c>
      <c r="D14" s="2">
        <v>8.51</v>
      </c>
      <c r="E14" s="2">
        <v>25.01</v>
      </c>
      <c r="F14" s="2">
        <v>73.010000000000005</v>
      </c>
      <c r="G14" s="2">
        <v>1.92</v>
      </c>
      <c r="J14">
        <f t="shared" si="0"/>
        <v>1426</v>
      </c>
      <c r="K14">
        <f t="shared" si="1"/>
        <v>49</v>
      </c>
    </row>
    <row r="15" spans="1:11" x14ac:dyDescent="0.2">
      <c r="B15" s="2">
        <v>6</v>
      </c>
      <c r="C15" s="2">
        <v>111.43</v>
      </c>
      <c r="D15" s="2">
        <v>7.61</v>
      </c>
      <c r="E15" s="2">
        <v>25.51</v>
      </c>
      <c r="F15" s="2">
        <v>71.63</v>
      </c>
      <c r="G15" s="2">
        <v>2.2400000000000002</v>
      </c>
      <c r="J15">
        <f t="shared" si="0"/>
        <v>1455</v>
      </c>
      <c r="K15">
        <f t="shared" si="1"/>
        <v>39</v>
      </c>
    </row>
    <row r="16" spans="1:11" x14ac:dyDescent="0.2">
      <c r="B16" s="2">
        <v>7</v>
      </c>
      <c r="C16" s="2">
        <v>137.13999999999999</v>
      </c>
      <c r="D16" s="2">
        <v>11.25</v>
      </c>
      <c r="E16" s="2">
        <v>28.08</v>
      </c>
      <c r="F16" s="2">
        <v>106.25</v>
      </c>
      <c r="G16" s="2">
        <v>3.78</v>
      </c>
      <c r="J16">
        <f t="shared" si="0"/>
        <v>1601</v>
      </c>
      <c r="K16">
        <f t="shared" si="1"/>
        <v>48</v>
      </c>
    </row>
    <row r="17" spans="2:11" x14ac:dyDescent="0.2">
      <c r="B17" s="2">
        <v>8</v>
      </c>
      <c r="C17" s="2">
        <v>131.43</v>
      </c>
      <c r="D17" s="2">
        <v>17.63</v>
      </c>
      <c r="E17" s="2">
        <v>34.57</v>
      </c>
      <c r="F17" s="2">
        <v>192.63</v>
      </c>
      <c r="G17" s="2">
        <v>10.75</v>
      </c>
      <c r="J17">
        <f t="shared" si="0"/>
        <v>1971</v>
      </c>
      <c r="K17">
        <f t="shared" si="1"/>
        <v>46</v>
      </c>
    </row>
    <row r="18" spans="2:11" x14ac:dyDescent="0.2">
      <c r="B18" s="2">
        <v>9</v>
      </c>
      <c r="C18" s="2">
        <v>165.71</v>
      </c>
      <c r="D18" s="2">
        <v>12.26</v>
      </c>
      <c r="E18" s="2">
        <v>27.97</v>
      </c>
      <c r="F18" s="2">
        <v>107.8</v>
      </c>
      <c r="G18" s="2">
        <v>2.74</v>
      </c>
      <c r="J18">
        <f t="shared" si="0"/>
        <v>1595</v>
      </c>
      <c r="K18">
        <f t="shared" si="1"/>
        <v>58</v>
      </c>
    </row>
    <row r="19" spans="2:11" x14ac:dyDescent="0.2">
      <c r="B19" s="2">
        <v>10</v>
      </c>
      <c r="C19" s="2">
        <v>145.71</v>
      </c>
      <c r="D19" s="2">
        <v>12.52</v>
      </c>
      <c r="E19" s="2">
        <v>29.37</v>
      </c>
      <c r="F19" s="2">
        <v>116.93</v>
      </c>
      <c r="G19" s="2">
        <v>5.34</v>
      </c>
      <c r="J19">
        <f t="shared" si="0"/>
        <v>1675</v>
      </c>
      <c r="K19">
        <f t="shared" si="1"/>
        <v>51</v>
      </c>
    </row>
    <row r="20" spans="2:11" x14ac:dyDescent="0.2">
      <c r="B20" s="2">
        <v>11</v>
      </c>
      <c r="C20" s="2">
        <v>140</v>
      </c>
      <c r="D20" s="2">
        <v>14.97</v>
      </c>
      <c r="E20" s="2">
        <v>32.770000000000003</v>
      </c>
      <c r="F20" s="2">
        <v>146.16</v>
      </c>
      <c r="G20" s="2">
        <v>8.41</v>
      </c>
      <c r="J20">
        <f t="shared" si="0"/>
        <v>1868</v>
      </c>
      <c r="K20">
        <f t="shared" si="1"/>
        <v>49</v>
      </c>
    </row>
    <row r="21" spans="2:11" x14ac:dyDescent="0.2">
      <c r="B21" s="2">
        <v>12</v>
      </c>
      <c r="C21" s="2">
        <v>137.13999999999999</v>
      </c>
      <c r="D21" s="2">
        <v>15.17</v>
      </c>
      <c r="E21" s="2">
        <v>32.93</v>
      </c>
      <c r="F21" s="2">
        <v>152.77000000000001</v>
      </c>
      <c r="G21" s="2">
        <v>7.1</v>
      </c>
      <c r="J21">
        <f t="shared" si="0"/>
        <v>1878</v>
      </c>
      <c r="K21">
        <f t="shared" si="1"/>
        <v>48</v>
      </c>
    </row>
    <row r="22" spans="2:11" x14ac:dyDescent="0.2">
      <c r="B22" s="2">
        <v>13</v>
      </c>
      <c r="C22" s="2">
        <v>165.71</v>
      </c>
      <c r="D22" s="2">
        <v>10.25</v>
      </c>
      <c r="E22" s="2">
        <v>25.8</v>
      </c>
      <c r="F22" s="2">
        <v>85.49</v>
      </c>
      <c r="G22" s="2">
        <v>1.81</v>
      </c>
      <c r="J22">
        <f t="shared" si="0"/>
        <v>1471</v>
      </c>
      <c r="K22">
        <f t="shared" si="1"/>
        <v>58</v>
      </c>
    </row>
    <row r="23" spans="2:11" x14ac:dyDescent="0.2">
      <c r="B23" s="2">
        <v>14</v>
      </c>
      <c r="C23" s="2">
        <v>94.29</v>
      </c>
      <c r="D23" s="2">
        <v>7.27</v>
      </c>
      <c r="E23" s="2">
        <v>27.46</v>
      </c>
      <c r="F23" s="2">
        <v>66.84</v>
      </c>
      <c r="G23" s="2">
        <v>2.86</v>
      </c>
      <c r="J23">
        <f t="shared" si="0"/>
        <v>1566</v>
      </c>
      <c r="K23">
        <f t="shared" si="1"/>
        <v>33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98" zoomScaleNormal="98" workbookViewId="0">
      <selection activeCell="F19" sqref="F19"/>
    </sheetView>
  </sheetViews>
  <sheetFormatPr defaultColWidth="11.5703125" defaultRowHeight="12.75" x14ac:dyDescent="0.2"/>
  <cols>
    <col min="1" max="1" width="12.5703125" customWidth="1"/>
  </cols>
  <sheetData>
    <row r="1" spans="1:7" ht="26.45" customHeight="1" x14ac:dyDescent="0.2">
      <c r="A1" s="17" t="s">
        <v>13</v>
      </c>
      <c r="B1" s="17"/>
      <c r="C1" s="17"/>
      <c r="D1" s="17"/>
      <c r="E1" s="17"/>
      <c r="F1" s="17"/>
      <c r="G1" s="17"/>
    </row>
    <row r="2" spans="1:7" x14ac:dyDescent="0.2">
      <c r="A2" t="s">
        <v>14</v>
      </c>
    </row>
    <row r="3" spans="1:7" x14ac:dyDescent="0.2">
      <c r="A3" t="s">
        <v>15</v>
      </c>
    </row>
    <row r="4" spans="1:7" x14ac:dyDescent="0.2">
      <c r="A4" t="s">
        <v>16</v>
      </c>
    </row>
    <row r="5" spans="1:7" x14ac:dyDescent="0.2">
      <c r="A5" t="s">
        <v>17</v>
      </c>
    </row>
    <row r="7" spans="1:7" ht="26.45" customHeight="1" x14ac:dyDescent="0.2">
      <c r="A7" s="17" t="s">
        <v>18</v>
      </c>
      <c r="B7" s="17"/>
      <c r="C7" s="17"/>
      <c r="D7" s="17"/>
      <c r="E7" s="17"/>
      <c r="F7" s="17"/>
      <c r="G7" s="17"/>
    </row>
  </sheetData>
  <sheetProtection selectLockedCells="1" selectUnlockedCells="1"/>
  <mergeCells count="2">
    <mergeCell ref="A1:G1"/>
    <mergeCell ref="A7:G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7" workbookViewId="0">
      <selection activeCell="A18" sqref="A18"/>
    </sheetView>
  </sheetViews>
  <sheetFormatPr defaultRowHeight="12.75" x14ac:dyDescent="0.2"/>
  <cols>
    <col min="1" max="1" width="27.7109375" customWidth="1"/>
  </cols>
  <sheetData>
    <row r="1" spans="1:4" x14ac:dyDescent="0.2">
      <c r="A1" s="5" t="s">
        <v>20</v>
      </c>
      <c r="B1" s="4"/>
    </row>
    <row r="2" spans="1:4" x14ac:dyDescent="0.2">
      <c r="A2" t="s">
        <v>21</v>
      </c>
      <c r="B2" s="4" t="s">
        <v>22</v>
      </c>
      <c r="C2">
        <v>24.5</v>
      </c>
      <c r="D2" t="s">
        <v>23</v>
      </c>
    </row>
    <row r="3" spans="1:4" x14ac:dyDescent="0.2">
      <c r="A3" t="s">
        <v>24</v>
      </c>
      <c r="B3" s="4" t="s">
        <v>25</v>
      </c>
      <c r="C3">
        <v>70</v>
      </c>
    </row>
    <row r="4" spans="1:4" x14ac:dyDescent="0.2">
      <c r="A4" t="s">
        <v>26</v>
      </c>
      <c r="B4" s="4" t="s">
        <v>27</v>
      </c>
      <c r="C4" s="6">
        <v>5.1804490000000003</v>
      </c>
    </row>
    <row r="5" spans="1:4" x14ac:dyDescent="0.2">
      <c r="B5" s="4"/>
      <c r="C5" s="6"/>
    </row>
    <row r="6" spans="1:4" x14ac:dyDescent="0.2">
      <c r="B6" s="4"/>
      <c r="C6" s="6"/>
    </row>
    <row r="7" spans="1:4" x14ac:dyDescent="0.2">
      <c r="A7" s="5" t="s">
        <v>28</v>
      </c>
      <c r="B7" s="4"/>
      <c r="C7" s="6"/>
    </row>
    <row r="8" spans="1:4" x14ac:dyDescent="0.2">
      <c r="B8" s="4"/>
      <c r="C8" s="6"/>
    </row>
    <row r="9" spans="1:4" x14ac:dyDescent="0.2">
      <c r="A9" t="s">
        <v>29</v>
      </c>
      <c r="B9" s="4" t="s">
        <v>30</v>
      </c>
      <c r="C9" s="7">
        <v>14</v>
      </c>
    </row>
    <row r="10" spans="1:4" x14ac:dyDescent="0.2">
      <c r="A10" t="s">
        <v>31</v>
      </c>
      <c r="B10" s="4" t="s">
        <v>32</v>
      </c>
      <c r="C10" s="6">
        <f>AVERAGE(Dados!D10:D23)</f>
        <v>11.993571428571428</v>
      </c>
      <c r="D10" t="s">
        <v>33</v>
      </c>
    </row>
    <row r="11" spans="1:4" x14ac:dyDescent="0.2">
      <c r="A11" t="s">
        <v>34</v>
      </c>
      <c r="B11" s="4" t="s">
        <v>35</v>
      </c>
      <c r="C11" s="8">
        <f>_xlfn.VAR.S(Dados!D10:D23)</f>
        <v>12.393501648351625</v>
      </c>
      <c r="D11" t="s">
        <v>36</v>
      </c>
    </row>
    <row r="12" spans="1:4" x14ac:dyDescent="0.2">
      <c r="C12" s="8"/>
    </row>
    <row r="13" spans="1:4" x14ac:dyDescent="0.2">
      <c r="A13" t="s">
        <v>37</v>
      </c>
      <c r="B13" t="s">
        <v>38</v>
      </c>
      <c r="C13" s="8">
        <v>0.8</v>
      </c>
    </row>
    <row r="14" spans="1:4" x14ac:dyDescent="0.2">
      <c r="B14" s="4" t="s">
        <v>39</v>
      </c>
      <c r="C14" s="8">
        <v>0.70820009419152308</v>
      </c>
    </row>
    <row r="15" spans="1:4" x14ac:dyDescent="0.2">
      <c r="B15" s="4"/>
    </row>
    <row r="16" spans="1:4" x14ac:dyDescent="0.2">
      <c r="A16" t="s">
        <v>40</v>
      </c>
      <c r="B16" s="4" t="s">
        <v>41</v>
      </c>
      <c r="C16" s="6">
        <v>2.16036865646279</v>
      </c>
    </row>
    <row r="17" spans="1:4" x14ac:dyDescent="0.2">
      <c r="A17" t="s">
        <v>42</v>
      </c>
      <c r="B17" s="4"/>
      <c r="C17" s="6">
        <v>1.81805014570274</v>
      </c>
      <c r="D17" t="s">
        <v>33</v>
      </c>
    </row>
    <row r="18" spans="1:4" x14ac:dyDescent="0.2">
      <c r="A18" t="s">
        <v>72</v>
      </c>
      <c r="B18" s="4"/>
      <c r="C18" s="9">
        <v>15.1585385264954</v>
      </c>
      <c r="D18" t="s">
        <v>43</v>
      </c>
    </row>
    <row r="19" spans="1:4" x14ac:dyDescent="0.2">
      <c r="B19" s="4"/>
    </row>
    <row r="20" spans="1:4" x14ac:dyDescent="0.2">
      <c r="B20" s="4"/>
    </row>
    <row r="21" spans="1:4" x14ac:dyDescent="0.2">
      <c r="A21" s="5" t="s">
        <v>44</v>
      </c>
      <c r="B21" s="4"/>
    </row>
    <row r="22" spans="1:4" x14ac:dyDescent="0.2">
      <c r="B22" s="4"/>
    </row>
    <row r="23" spans="1:4" x14ac:dyDescent="0.2">
      <c r="A23" t="s">
        <v>45</v>
      </c>
      <c r="B23" s="4" t="s">
        <v>46</v>
      </c>
      <c r="C23" s="10">
        <v>5</v>
      </c>
    </row>
    <row r="24" spans="1:4" x14ac:dyDescent="0.2">
      <c r="A24" t="s">
        <v>47</v>
      </c>
      <c r="B24" s="4" t="s">
        <v>48</v>
      </c>
      <c r="C24" s="6">
        <v>29.352729238723501</v>
      </c>
    </row>
    <row r="25" spans="1:4" x14ac:dyDescent="0.2">
      <c r="B25" s="4"/>
    </row>
    <row r="26" spans="1:4" x14ac:dyDescent="0.2">
      <c r="B26" s="10" t="s">
        <v>49</v>
      </c>
      <c r="C26" s="10" t="s">
        <v>50</v>
      </c>
      <c r="D26" s="10" t="s">
        <v>51</v>
      </c>
    </row>
    <row r="27" spans="1:4" x14ac:dyDescent="0.2">
      <c r="B27" s="10">
        <v>1</v>
      </c>
      <c r="C27" s="11">
        <v>2.16036865646279</v>
      </c>
      <c r="D27" s="10">
        <v>49</v>
      </c>
    </row>
    <row r="28" spans="1:4" x14ac:dyDescent="0.2">
      <c r="B28" s="10">
        <v>2</v>
      </c>
      <c r="C28" s="11">
        <v>2.0106347576242301</v>
      </c>
      <c r="D28" s="10">
        <v>47</v>
      </c>
    </row>
    <row r="29" spans="1:4" x14ac:dyDescent="0.2">
      <c r="B29" s="10">
        <v>3</v>
      </c>
      <c r="C29" s="11">
        <v>2.0128955989194299</v>
      </c>
      <c r="D29" s="10">
        <v>47</v>
      </c>
    </row>
    <row r="30" spans="1:4" x14ac:dyDescent="0.2">
      <c r="B30" s="10">
        <v>4</v>
      </c>
      <c r="C30" s="11">
        <v>2.0128955989194299</v>
      </c>
      <c r="D30" s="10">
        <v>47</v>
      </c>
    </row>
    <row r="31" spans="1:4" x14ac:dyDescent="0.2">
      <c r="B31" s="10"/>
      <c r="C31" s="10"/>
      <c r="D31" s="10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opLeftCell="A81" workbookViewId="0">
      <selection activeCell="F80" sqref="F80"/>
    </sheetView>
  </sheetViews>
  <sheetFormatPr defaultRowHeight="12.75" x14ac:dyDescent="0.2"/>
  <cols>
    <col min="1" max="1" width="30.140625" customWidth="1"/>
    <col min="2" max="2" width="10" customWidth="1"/>
    <col min="3" max="3" width="13.140625" customWidth="1"/>
  </cols>
  <sheetData>
    <row r="1" spans="1:9" x14ac:dyDescent="0.2">
      <c r="A1" s="5" t="s">
        <v>20</v>
      </c>
      <c r="B1" s="4"/>
    </row>
    <row r="2" spans="1:9" x14ac:dyDescent="0.2">
      <c r="A2" t="s">
        <v>21</v>
      </c>
      <c r="B2" s="4" t="s">
        <v>22</v>
      </c>
      <c r="C2">
        <v>24.5</v>
      </c>
      <c r="D2" t="s">
        <v>23</v>
      </c>
    </row>
    <row r="3" spans="1:9" x14ac:dyDescent="0.2">
      <c r="A3" t="s">
        <v>24</v>
      </c>
      <c r="B3" s="4" t="s">
        <v>25</v>
      </c>
      <c r="C3">
        <v>70</v>
      </c>
    </row>
    <row r="4" spans="1:9" x14ac:dyDescent="0.2">
      <c r="A4" t="s">
        <v>56</v>
      </c>
      <c r="B4" s="4" t="s">
        <v>27</v>
      </c>
      <c r="C4" s="6">
        <v>5.1804490000000003</v>
      </c>
      <c r="D4" t="s">
        <v>33</v>
      </c>
    </row>
    <row r="5" spans="1:9" x14ac:dyDescent="0.2">
      <c r="B5" s="4"/>
      <c r="C5" s="6"/>
    </row>
    <row r="6" spans="1:9" x14ac:dyDescent="0.2">
      <c r="B6" s="4"/>
      <c r="C6" s="6"/>
    </row>
    <row r="7" spans="1:9" x14ac:dyDescent="0.2">
      <c r="A7" s="13" t="s">
        <v>14</v>
      </c>
      <c r="B7" s="4"/>
      <c r="C7" s="6"/>
      <c r="F7" s="10" t="s">
        <v>52</v>
      </c>
      <c r="G7" s="10" t="s">
        <v>53</v>
      </c>
      <c r="H7" s="10" t="s">
        <v>54</v>
      </c>
      <c r="I7" s="10" t="s">
        <v>55</v>
      </c>
    </row>
    <row r="8" spans="1:9" x14ac:dyDescent="0.2">
      <c r="A8" t="s">
        <v>29</v>
      </c>
      <c r="B8" s="4" t="s">
        <v>57</v>
      </c>
      <c r="C8" s="9">
        <v>14</v>
      </c>
      <c r="F8" s="10"/>
      <c r="G8" s="10"/>
      <c r="H8" s="10"/>
      <c r="I8" s="10"/>
    </row>
    <row r="9" spans="1:9" x14ac:dyDescent="0.2">
      <c r="A9" t="s">
        <v>58</v>
      </c>
      <c r="B9" s="4" t="s">
        <v>59</v>
      </c>
      <c r="C9" s="6">
        <f>AVERAGE(Dados!G10:G23)</f>
        <v>4.8514285714285714</v>
      </c>
      <c r="D9" t="s">
        <v>33</v>
      </c>
      <c r="F9" s="10">
        <v>1</v>
      </c>
      <c r="G9" s="10">
        <f>Dados!G10^2</f>
        <v>88.172100000000015</v>
      </c>
      <c r="H9" s="10">
        <f>Dados!C10^2</f>
        <v>26523.379600000004</v>
      </c>
      <c r="I9" s="10">
        <f>Dados!C10*Dados!G10</f>
        <v>1529.2554000000002</v>
      </c>
    </row>
    <row r="10" spans="1:9" x14ac:dyDescent="0.2">
      <c r="A10" t="s">
        <v>73</v>
      </c>
      <c r="B10" s="4" t="s">
        <v>60</v>
      </c>
      <c r="C10" s="6">
        <f>AVERAGE(Dados!C10:C23)</f>
        <v>139.18285714285713</v>
      </c>
      <c r="D10" t="s">
        <v>74</v>
      </c>
      <c r="F10" s="10">
        <v>2</v>
      </c>
      <c r="G10" s="10">
        <f>Dados!G11^2</f>
        <v>6.1009000000000011</v>
      </c>
      <c r="H10" s="10">
        <f>Dados!C11^2</f>
        <v>15803.004099999998</v>
      </c>
      <c r="I10" s="10">
        <f>Dados!C11*Dados!G11</f>
        <v>310.50369999999998</v>
      </c>
    </row>
    <row r="11" spans="1:9" x14ac:dyDescent="0.2">
      <c r="B11" s="4"/>
      <c r="F11" s="10">
        <v>3</v>
      </c>
      <c r="G11" s="10">
        <f>Dados!G12^2</f>
        <v>40.960000000000008</v>
      </c>
      <c r="H11" s="10">
        <f>Dados!C12^2</f>
        <v>22931.044900000001</v>
      </c>
      <c r="I11" s="10">
        <f>Dados!C12*Dados!G12</f>
        <v>969.15200000000004</v>
      </c>
    </row>
    <row r="12" spans="1:9" x14ac:dyDescent="0.2">
      <c r="B12" s="4" t="s">
        <v>61</v>
      </c>
      <c r="C12">
        <f>SUM(Dados!G10:G23)</f>
        <v>67.92</v>
      </c>
      <c r="F12" s="10">
        <v>4</v>
      </c>
      <c r="G12" s="10">
        <f>Dados!G13^2</f>
        <v>7.3441000000000001</v>
      </c>
      <c r="H12" s="10">
        <f>Dados!C13^2</f>
        <v>19600</v>
      </c>
      <c r="I12" s="10">
        <f>Dados!C13*Dados!G13</f>
        <v>379.4</v>
      </c>
    </row>
    <row r="13" spans="1:9" x14ac:dyDescent="0.2">
      <c r="B13" s="4" t="s">
        <v>62</v>
      </c>
      <c r="C13">
        <f>SUM(Dados!C10:C23)</f>
        <v>1948.56</v>
      </c>
      <c r="F13" s="10">
        <v>5</v>
      </c>
      <c r="G13" s="10">
        <f>Dados!G14^2</f>
        <v>3.6863999999999999</v>
      </c>
      <c r="H13" s="10">
        <f>Dados!C14^2</f>
        <v>19600</v>
      </c>
      <c r="I13" s="10">
        <f>Dados!C14*Dados!G14</f>
        <v>268.8</v>
      </c>
    </row>
    <row r="14" spans="1:9" x14ac:dyDescent="0.2">
      <c r="B14" s="4" t="s">
        <v>63</v>
      </c>
      <c r="C14">
        <f>SUM(G9:G22)</f>
        <v>449.74899999999991</v>
      </c>
      <c r="F14" s="10">
        <v>6</v>
      </c>
      <c r="G14" s="10">
        <f>Dados!G15^2</f>
        <v>5.0176000000000007</v>
      </c>
      <c r="H14" s="10">
        <f>Dados!C15^2</f>
        <v>12416.644900000001</v>
      </c>
      <c r="I14" s="10">
        <f>Dados!C15*Dados!G15</f>
        <v>249.60320000000004</v>
      </c>
    </row>
    <row r="15" spans="1:9" x14ac:dyDescent="0.2">
      <c r="B15" s="4" t="s">
        <v>64</v>
      </c>
      <c r="C15">
        <f>SUM(H9:H22)</f>
        <v>276404.29399999999</v>
      </c>
      <c r="F15" s="10">
        <v>7</v>
      </c>
      <c r="G15" s="10">
        <f>Dados!G16^2</f>
        <v>14.288399999999999</v>
      </c>
      <c r="H15" s="10">
        <f>Dados!C16^2</f>
        <v>18807.379599999997</v>
      </c>
      <c r="I15" s="10">
        <f>Dados!C16*Dados!G16</f>
        <v>518.38919999999996</v>
      </c>
    </row>
    <row r="16" spans="1:9" x14ac:dyDescent="0.2">
      <c r="B16" s="4" t="s">
        <v>65</v>
      </c>
      <c r="C16">
        <f>SUM(I9:I22)</f>
        <v>9590.8113000000012</v>
      </c>
      <c r="F16" s="10">
        <v>8</v>
      </c>
      <c r="G16" s="10">
        <f>Dados!G17^2</f>
        <v>115.5625</v>
      </c>
      <c r="H16" s="10">
        <f>Dados!C17^2</f>
        <v>17273.8449</v>
      </c>
      <c r="I16" s="10">
        <f>Dados!C17*Dados!G17</f>
        <v>1412.8725000000002</v>
      </c>
    </row>
    <row r="17" spans="1:9" x14ac:dyDescent="0.2">
      <c r="B17" s="4"/>
      <c r="F17" s="10">
        <v>9</v>
      </c>
      <c r="G17" s="10">
        <f>Dados!G18^2</f>
        <v>7.5076000000000009</v>
      </c>
      <c r="H17" s="10">
        <f>Dados!C18^2</f>
        <v>27459.804100000001</v>
      </c>
      <c r="I17" s="10">
        <f>Dados!C18*Dados!G18</f>
        <v>454.04540000000003</v>
      </c>
    </row>
    <row r="18" spans="1:9" x14ac:dyDescent="0.2">
      <c r="B18" s="4" t="s">
        <v>66</v>
      </c>
      <c r="C18" s="6">
        <f>(C16-((C12*C13)/C8))/(C14-(C12^2/C8))</f>
        <v>1.1436433427534072</v>
      </c>
      <c r="F18" s="10">
        <v>10</v>
      </c>
      <c r="G18" s="10">
        <f>Dados!G19^2</f>
        <v>28.515599999999999</v>
      </c>
      <c r="H18" s="10">
        <f>Dados!C19^2</f>
        <v>21231.404100000003</v>
      </c>
      <c r="I18" s="10">
        <f>Dados!C19*Dados!G19</f>
        <v>778.09140000000002</v>
      </c>
    </row>
    <row r="19" spans="1:9" x14ac:dyDescent="0.2">
      <c r="B19" s="4"/>
      <c r="C19" s="6"/>
      <c r="F19" s="10">
        <v>11</v>
      </c>
      <c r="G19" s="10">
        <f>Dados!G20^2</f>
        <v>70.728099999999998</v>
      </c>
      <c r="H19" s="10">
        <f>Dados!C20^2</f>
        <v>19600</v>
      </c>
      <c r="I19" s="10">
        <f>Dados!C20*Dados!G20</f>
        <v>1177.4000000000001</v>
      </c>
    </row>
    <row r="20" spans="1:9" x14ac:dyDescent="0.2">
      <c r="A20" t="s">
        <v>67</v>
      </c>
      <c r="B20" s="4" t="s">
        <v>68</v>
      </c>
      <c r="C20" s="6">
        <f>((C15-(C13^2/C8))-C18*(C14-(C12^2/C8)))/C8-2</f>
        <v>359.4738744897947</v>
      </c>
      <c r="D20" t="s">
        <v>36</v>
      </c>
      <c r="F20" s="10">
        <v>12</v>
      </c>
      <c r="G20" s="10">
        <f>Dados!G21^2</f>
        <v>50.41</v>
      </c>
      <c r="H20" s="10">
        <f>Dados!C21^2</f>
        <v>18807.379599999997</v>
      </c>
      <c r="I20" s="10">
        <f>Dados!C21*Dados!G21</f>
        <v>973.69399999999985</v>
      </c>
    </row>
    <row r="21" spans="1:9" x14ac:dyDescent="0.2">
      <c r="B21" s="4"/>
      <c r="C21" s="6"/>
      <c r="F21" s="10">
        <v>13</v>
      </c>
      <c r="G21" s="10">
        <f>Dados!G22^2</f>
        <v>3.2761</v>
      </c>
      <c r="H21" s="10">
        <f>Dados!C22^2</f>
        <v>27459.804100000001</v>
      </c>
      <c r="I21" s="10">
        <f>Dados!C22*Dados!G22</f>
        <v>299.93510000000003</v>
      </c>
    </row>
    <row r="22" spans="1:9" x14ac:dyDescent="0.2">
      <c r="A22" t="s">
        <v>69</v>
      </c>
      <c r="B22" s="4" t="s">
        <v>70</v>
      </c>
      <c r="C22" s="6">
        <f>(C13/C8)+C18*(C4-(C12/C8))</f>
        <v>139.55913916562272</v>
      </c>
      <c r="D22" t="s">
        <v>33</v>
      </c>
      <c r="F22" s="10">
        <v>14</v>
      </c>
      <c r="G22" s="10">
        <f>Dados!G23^2</f>
        <v>8.1795999999999989</v>
      </c>
      <c r="H22" s="10">
        <f>Dados!C23^2</f>
        <v>8890.6041000000005</v>
      </c>
      <c r="I22" s="10">
        <f>Dados!C23*Dados!G23</f>
        <v>269.6694</v>
      </c>
    </row>
    <row r="23" spans="1:9" x14ac:dyDescent="0.2">
      <c r="B23" s="4"/>
    </row>
    <row r="24" spans="1:9" x14ac:dyDescent="0.2">
      <c r="A24" t="s">
        <v>37</v>
      </c>
      <c r="B24" s="4" t="s">
        <v>38</v>
      </c>
      <c r="C24">
        <f>1-C8/C3</f>
        <v>0.8</v>
      </c>
    </row>
    <row r="25" spans="1:9" x14ac:dyDescent="0.2">
      <c r="B25" s="4" t="s">
        <v>71</v>
      </c>
      <c r="C25" s="6">
        <f>(C20/C8)*C24</f>
        <v>20.541364256559699</v>
      </c>
      <c r="D25" t="s">
        <v>36</v>
      </c>
    </row>
    <row r="26" spans="1:9" x14ac:dyDescent="0.2">
      <c r="B26" s="4"/>
      <c r="C26" s="6"/>
    </row>
    <row r="27" spans="1:9" x14ac:dyDescent="0.2">
      <c r="A27" t="s">
        <v>40</v>
      </c>
      <c r="B27" s="4" t="s">
        <v>41</v>
      </c>
      <c r="C27" s="6">
        <v>2.16036865646279</v>
      </c>
    </row>
    <row r="28" spans="1:9" x14ac:dyDescent="0.2">
      <c r="B28" s="4"/>
      <c r="C28" s="6"/>
    </row>
    <row r="29" spans="1:9" x14ac:dyDescent="0.2">
      <c r="A29" t="s">
        <v>42</v>
      </c>
      <c r="B29" s="4"/>
      <c r="C29" s="6">
        <f>C27*(SQRT(C25))</f>
        <v>9.7913485261236151</v>
      </c>
      <c r="D29" t="s">
        <v>33</v>
      </c>
    </row>
    <row r="30" spans="1:9" x14ac:dyDescent="0.2">
      <c r="A30" t="s">
        <v>72</v>
      </c>
      <c r="B30" s="4"/>
      <c r="C30" s="12">
        <f>(C29/C10)*100</f>
        <v>7.0348811104472349</v>
      </c>
      <c r="D30" t="s">
        <v>43</v>
      </c>
    </row>
    <row r="31" spans="1:9" x14ac:dyDescent="0.2">
      <c r="B31" s="4"/>
    </row>
    <row r="32" spans="1:9" x14ac:dyDescent="0.2">
      <c r="B32" s="4"/>
    </row>
    <row r="33" spans="1:9" x14ac:dyDescent="0.2">
      <c r="A33" s="5" t="s">
        <v>44</v>
      </c>
      <c r="B33" s="4"/>
    </row>
    <row r="34" spans="1:9" x14ac:dyDescent="0.2">
      <c r="B34" s="4"/>
    </row>
    <row r="35" spans="1:9" x14ac:dyDescent="0.2">
      <c r="A35" t="s">
        <v>45</v>
      </c>
      <c r="B35" s="4" t="s">
        <v>46</v>
      </c>
      <c r="C35" s="10">
        <v>5</v>
      </c>
    </row>
    <row r="36" spans="1:9" x14ac:dyDescent="0.2">
      <c r="A36" t="s">
        <v>47</v>
      </c>
      <c r="B36" s="4" t="s">
        <v>48</v>
      </c>
      <c r="C36" s="6">
        <f>((SQRT(C20))/C22)*100</f>
        <v>13.585492415939546</v>
      </c>
    </row>
    <row r="37" spans="1:9" x14ac:dyDescent="0.2">
      <c r="B37" s="4"/>
    </row>
    <row r="38" spans="1:9" x14ac:dyDescent="0.2">
      <c r="B38" s="10" t="s">
        <v>49</v>
      </c>
      <c r="C38" s="10" t="s">
        <v>50</v>
      </c>
      <c r="D38" s="10" t="s">
        <v>51</v>
      </c>
    </row>
    <row r="39" spans="1:9" x14ac:dyDescent="0.2">
      <c r="B39" s="10">
        <v>1</v>
      </c>
      <c r="C39" s="11">
        <v>2.16036865646279</v>
      </c>
      <c r="D39" s="10">
        <f>ROUNDUP((C39^2*$C$36^2*$C$3)/(($C$152^2*$C$3)+(C39^2*$C$36^2)),0)</f>
        <v>24</v>
      </c>
    </row>
    <row r="40" spans="1:9" x14ac:dyDescent="0.2">
      <c r="B40" s="10">
        <v>2</v>
      </c>
      <c r="C40" s="11">
        <v>2.1199052992212502</v>
      </c>
      <c r="D40" s="10">
        <f t="shared" ref="D40:D42" si="0">ROUNDUP((C40^2*$C$36^2*$C$3)/(($C$152^2*$C$3)+(C40^2*$C$36^2)),0)</f>
        <v>23</v>
      </c>
    </row>
    <row r="41" spans="1:9" x14ac:dyDescent="0.2">
      <c r="B41" s="10">
        <v>3</v>
      </c>
      <c r="C41" s="11">
        <v>2.1199052992212502</v>
      </c>
      <c r="D41" s="10">
        <f t="shared" si="0"/>
        <v>23</v>
      </c>
    </row>
    <row r="42" spans="1:9" x14ac:dyDescent="0.2">
      <c r="B42" s="10">
        <v>4</v>
      </c>
      <c r="C42" s="11">
        <v>2.1199052992212502</v>
      </c>
      <c r="D42" s="10">
        <f t="shared" si="0"/>
        <v>23</v>
      </c>
    </row>
    <row r="43" spans="1:9" x14ac:dyDescent="0.2">
      <c r="B43" s="4"/>
    </row>
    <row r="44" spans="1:9" x14ac:dyDescent="0.2">
      <c r="B44" s="4"/>
    </row>
    <row r="46" spans="1:9" x14ac:dyDescent="0.2">
      <c r="A46" s="13" t="s">
        <v>15</v>
      </c>
      <c r="B46" s="4"/>
      <c r="C46" s="6"/>
    </row>
    <row r="47" spans="1:9" x14ac:dyDescent="0.2">
      <c r="A47" t="s">
        <v>29</v>
      </c>
      <c r="B47" s="4" t="s">
        <v>57</v>
      </c>
      <c r="C47" s="9">
        <v>14</v>
      </c>
      <c r="F47" s="10" t="s">
        <v>52</v>
      </c>
      <c r="G47" s="10" t="s">
        <v>53</v>
      </c>
      <c r="H47" s="10" t="s">
        <v>54</v>
      </c>
      <c r="I47" s="10" t="s">
        <v>55</v>
      </c>
    </row>
    <row r="48" spans="1:9" x14ac:dyDescent="0.2">
      <c r="A48" t="s">
        <v>58</v>
      </c>
      <c r="B48" s="4" t="s">
        <v>59</v>
      </c>
      <c r="C48" s="6">
        <f>AVERAGE(Dados!G10:G23)</f>
        <v>4.8514285714285714</v>
      </c>
      <c r="D48" t="s">
        <v>33</v>
      </c>
      <c r="F48" s="10"/>
      <c r="G48" s="10"/>
      <c r="H48" s="10"/>
      <c r="I48" s="10"/>
    </row>
    <row r="49" spans="1:9" x14ac:dyDescent="0.2">
      <c r="A49" t="s">
        <v>75</v>
      </c>
      <c r="B49" s="4" t="s">
        <v>60</v>
      </c>
      <c r="C49" s="6">
        <f>AVERAGE(Dados!E10:E23)</f>
        <v>28.894285714285708</v>
      </c>
      <c r="D49" t="s">
        <v>76</v>
      </c>
      <c r="F49" s="10">
        <v>1</v>
      </c>
      <c r="G49" s="10">
        <f>Dados!$G$10^2</f>
        <v>88.172100000000015</v>
      </c>
      <c r="H49" s="10">
        <f>Dados!E10^2</f>
        <v>985.95999999999992</v>
      </c>
      <c r="I49" s="10">
        <f>Dados!E10*Dados!G10</f>
        <v>294.846</v>
      </c>
    </row>
    <row r="50" spans="1:9" x14ac:dyDescent="0.2">
      <c r="B50" s="4"/>
      <c r="F50" s="10">
        <v>2</v>
      </c>
      <c r="G50" s="10">
        <f>Dados!$G$11^2</f>
        <v>6.1009000000000011</v>
      </c>
      <c r="H50" s="10">
        <f>Dados!E11^2</f>
        <v>749.6644</v>
      </c>
      <c r="I50" s="10">
        <f>Dados!E11*Dados!G11</f>
        <v>67.628600000000006</v>
      </c>
    </row>
    <row r="51" spans="1:9" x14ac:dyDescent="0.2">
      <c r="B51" s="4" t="s">
        <v>61</v>
      </c>
      <c r="C51">
        <v>67.92</v>
      </c>
      <c r="F51" s="10">
        <v>3</v>
      </c>
      <c r="G51" s="10">
        <f>Dados!$G$12^2</f>
        <v>40.960000000000008</v>
      </c>
      <c r="H51" s="10">
        <f>Dados!E12^2</f>
        <v>875.56809999999996</v>
      </c>
      <c r="I51" s="10">
        <f>Dados!E12*Dados!G12</f>
        <v>189.376</v>
      </c>
    </row>
    <row r="52" spans="1:9" x14ac:dyDescent="0.2">
      <c r="B52" s="4" t="s">
        <v>62</v>
      </c>
      <c r="C52">
        <f>SUM(Dados!E10:E23)</f>
        <v>404.51999999999992</v>
      </c>
      <c r="F52" s="10">
        <v>4</v>
      </c>
      <c r="G52" s="10">
        <f>Dados!$G$13^2</f>
        <v>7.3441000000000001</v>
      </c>
      <c r="H52" s="10">
        <f>Dados!E13^2</f>
        <v>711.82240000000002</v>
      </c>
      <c r="I52" s="10">
        <f>Dados!E13*Dados!G13</f>
        <v>72.302800000000005</v>
      </c>
    </row>
    <row r="53" spans="1:9" x14ac:dyDescent="0.2">
      <c r="B53" s="4" t="s">
        <v>63</v>
      </c>
      <c r="C53">
        <v>449.74900000000002</v>
      </c>
      <c r="F53" s="10">
        <v>5</v>
      </c>
      <c r="G53" s="10">
        <f>Dados!$G$14^2</f>
        <v>3.6863999999999999</v>
      </c>
      <c r="H53" s="10">
        <f>Dados!E14^2</f>
        <v>625.50010000000009</v>
      </c>
      <c r="I53" s="10">
        <f>Dados!E14*Dados!G14</f>
        <v>48.019199999999998</v>
      </c>
    </row>
    <row r="54" spans="1:9" x14ac:dyDescent="0.2">
      <c r="B54" s="4" t="s">
        <v>64</v>
      </c>
      <c r="C54">
        <f>SUM(H49:H62)</f>
        <v>11805.713600000001</v>
      </c>
      <c r="F54" s="10">
        <v>6</v>
      </c>
      <c r="G54" s="10">
        <f>Dados!$G$15^2</f>
        <v>5.0176000000000007</v>
      </c>
      <c r="H54" s="10">
        <f>Dados!E15^2</f>
        <v>650.76010000000008</v>
      </c>
      <c r="I54" s="10">
        <f>Dados!E15*Dados!G15</f>
        <v>57.142400000000009</v>
      </c>
    </row>
    <row r="55" spans="1:9" x14ac:dyDescent="0.2">
      <c r="B55" s="4" t="s">
        <v>65</v>
      </c>
      <c r="C55">
        <f>SUM(I49:I62)</f>
        <v>2075.1908000000003</v>
      </c>
      <c r="F55" s="10">
        <v>7</v>
      </c>
      <c r="G55" s="10">
        <f>Dados!$G$16^2</f>
        <v>14.288399999999999</v>
      </c>
      <c r="H55" s="10">
        <f>Dados!E16^2</f>
        <v>788.48639999999989</v>
      </c>
      <c r="I55" s="10">
        <f>Dados!E16*Dados!G16</f>
        <v>106.14239999999999</v>
      </c>
    </row>
    <row r="56" spans="1:9" x14ac:dyDescent="0.2">
      <c r="B56" s="4"/>
      <c r="F56" s="10">
        <v>8</v>
      </c>
      <c r="G56" s="10">
        <f>Dados!$G$17^2</f>
        <v>115.5625</v>
      </c>
      <c r="H56" s="10">
        <f>Dados!E17^2</f>
        <v>1195.0849000000001</v>
      </c>
      <c r="I56" s="10">
        <f>Dados!E17*Dados!G17</f>
        <v>371.6275</v>
      </c>
    </row>
    <row r="57" spans="1:9" x14ac:dyDescent="0.2">
      <c r="B57" s="4" t="s">
        <v>66</v>
      </c>
      <c r="C57" s="6">
        <f>(C55-(C51*C52)/C47)/(C53-(C51^2/C47))</f>
        <v>0.93721674204371275</v>
      </c>
      <c r="F57" s="10">
        <v>9</v>
      </c>
      <c r="G57" s="10">
        <f>Dados!$G$18^2</f>
        <v>7.5076000000000009</v>
      </c>
      <c r="H57" s="10">
        <f>Dados!E18^2</f>
        <v>782.32089999999994</v>
      </c>
      <c r="I57" s="10">
        <f>Dados!E18*Dados!G18</f>
        <v>76.637799999999999</v>
      </c>
    </row>
    <row r="58" spans="1:9" x14ac:dyDescent="0.2">
      <c r="B58" s="4"/>
      <c r="C58" s="6"/>
      <c r="F58" s="10">
        <v>10</v>
      </c>
      <c r="G58" s="10">
        <f>Dados!$G$19^2</f>
        <v>28.515599999999999</v>
      </c>
      <c r="H58" s="10">
        <f>Dados!E19^2</f>
        <v>862.59690000000001</v>
      </c>
      <c r="I58" s="10">
        <f>Dados!E19*Dados!G19</f>
        <v>156.83580000000001</v>
      </c>
    </row>
    <row r="59" spans="1:9" x14ac:dyDescent="0.2">
      <c r="A59" t="s">
        <v>67</v>
      </c>
      <c r="B59" s="4" t="s">
        <v>68</v>
      </c>
      <c r="C59" s="6">
        <f>(((C54-(C52^2/C47))-C57*(C53-(C51^2/C47)))/C47-2)*-1</f>
        <v>1.6638408163262284</v>
      </c>
      <c r="D59" t="s">
        <v>36</v>
      </c>
      <c r="F59" s="10">
        <v>11</v>
      </c>
      <c r="G59" s="10">
        <f>Dados!$G$20^2</f>
        <v>70.728099999999998</v>
      </c>
      <c r="H59" s="10">
        <f>Dados!E20^2</f>
        <v>1073.8729000000003</v>
      </c>
      <c r="I59" s="10">
        <f>Dados!E20*Dados!G20</f>
        <v>275.59570000000002</v>
      </c>
    </row>
    <row r="60" spans="1:9" x14ac:dyDescent="0.2">
      <c r="B60" s="4"/>
      <c r="C60" s="6"/>
      <c r="F60" s="10">
        <v>12</v>
      </c>
      <c r="G60" s="10">
        <f>Dados!$G$21^2</f>
        <v>50.41</v>
      </c>
      <c r="H60" s="10">
        <f>Dados!E21^2</f>
        <v>1084.3849</v>
      </c>
      <c r="I60" s="10">
        <f>Dados!E21*Dados!G21</f>
        <v>233.803</v>
      </c>
    </row>
    <row r="61" spans="1:9" x14ac:dyDescent="0.2">
      <c r="A61" t="s">
        <v>69</v>
      </c>
      <c r="B61" s="4" t="s">
        <v>70</v>
      </c>
      <c r="C61" s="6">
        <f>((C52/C47)+C57*(C43-(C51/C47)))</f>
        <v>24.347445634313637</v>
      </c>
      <c r="D61" t="s">
        <v>33</v>
      </c>
      <c r="F61" s="10">
        <v>13</v>
      </c>
      <c r="G61" s="10">
        <f>Dados!$G$22^2</f>
        <v>3.2761</v>
      </c>
      <c r="H61" s="10">
        <f>Dados!E22^2</f>
        <v>665.64</v>
      </c>
      <c r="I61" s="10">
        <f>Dados!E22*Dados!G22</f>
        <v>46.698</v>
      </c>
    </row>
    <row r="62" spans="1:9" x14ac:dyDescent="0.2">
      <c r="B62" s="4"/>
      <c r="F62" s="10">
        <v>14</v>
      </c>
      <c r="G62" s="10">
        <f>Dados!$G$23^2</f>
        <v>8.1795999999999989</v>
      </c>
      <c r="H62" s="10">
        <f>Dados!E23^2</f>
        <v>754.05160000000001</v>
      </c>
      <c r="I62" s="10">
        <f>Dados!E23*Dados!G23</f>
        <v>78.535600000000002</v>
      </c>
    </row>
    <row r="63" spans="1:9" x14ac:dyDescent="0.2">
      <c r="A63" t="s">
        <v>37</v>
      </c>
      <c r="B63" s="4" t="s">
        <v>38</v>
      </c>
      <c r="C63">
        <f>1-C47/C3</f>
        <v>0.8</v>
      </c>
    </row>
    <row r="64" spans="1:9" x14ac:dyDescent="0.2">
      <c r="B64" s="4" t="s">
        <v>71</v>
      </c>
      <c r="C64" s="6">
        <f>(C59/C47)*C63</f>
        <v>9.5076618075784491E-2</v>
      </c>
      <c r="D64" t="s">
        <v>36</v>
      </c>
    </row>
    <row r="65" spans="1:4" x14ac:dyDescent="0.2">
      <c r="B65" s="4"/>
      <c r="C65" s="6"/>
    </row>
    <row r="66" spans="1:4" x14ac:dyDescent="0.2">
      <c r="A66" t="s">
        <v>40</v>
      </c>
      <c r="B66" s="4" t="s">
        <v>41</v>
      </c>
      <c r="C66" s="6">
        <v>2.16036865646279</v>
      </c>
    </row>
    <row r="67" spans="1:4" x14ac:dyDescent="0.2">
      <c r="B67" s="4"/>
      <c r="C67" s="6"/>
    </row>
    <row r="68" spans="1:4" x14ac:dyDescent="0.2">
      <c r="A68" t="s">
        <v>42</v>
      </c>
      <c r="B68" s="4"/>
      <c r="C68" s="6">
        <f>C66*SQRT(C64)</f>
        <v>0.66613879998839409</v>
      </c>
      <c r="D68" t="s">
        <v>33</v>
      </c>
    </row>
    <row r="69" spans="1:4" x14ac:dyDescent="0.2">
      <c r="A69" t="s">
        <v>72</v>
      </c>
      <c r="B69" s="4"/>
      <c r="C69" s="12">
        <f>(C68/C49)*100</f>
        <v>2.3054343913372688</v>
      </c>
      <c r="D69" t="s">
        <v>43</v>
      </c>
    </row>
    <row r="70" spans="1:4" x14ac:dyDescent="0.2">
      <c r="B70" s="4"/>
    </row>
    <row r="71" spans="1:4" x14ac:dyDescent="0.2">
      <c r="B71" s="4"/>
    </row>
    <row r="72" spans="1:4" x14ac:dyDescent="0.2">
      <c r="A72" s="5" t="s">
        <v>44</v>
      </c>
      <c r="B72" s="4"/>
    </row>
    <row r="73" spans="1:4" x14ac:dyDescent="0.2">
      <c r="B73" s="4"/>
    </row>
    <row r="74" spans="1:4" x14ac:dyDescent="0.2">
      <c r="A74" t="s">
        <v>45</v>
      </c>
      <c r="B74" s="4" t="s">
        <v>46</v>
      </c>
      <c r="C74" s="10">
        <v>5</v>
      </c>
    </row>
    <row r="75" spans="1:4" x14ac:dyDescent="0.2">
      <c r="A75" t="s">
        <v>47</v>
      </c>
      <c r="B75" s="4" t="s">
        <v>48</v>
      </c>
      <c r="C75" s="6">
        <f>((SQRT(C59))/C61)*100</f>
        <v>5.2978844543835812</v>
      </c>
    </row>
    <row r="76" spans="1:4" x14ac:dyDescent="0.2">
      <c r="B76" s="4"/>
    </row>
    <row r="77" spans="1:4" x14ac:dyDescent="0.2">
      <c r="B77" s="10" t="s">
        <v>49</v>
      </c>
      <c r="C77" s="10" t="s">
        <v>50</v>
      </c>
      <c r="D77" s="10" t="s">
        <v>51</v>
      </c>
    </row>
    <row r="78" spans="1:4" x14ac:dyDescent="0.2">
      <c r="B78" s="10">
        <v>1</v>
      </c>
      <c r="C78" s="11">
        <v>2.16036865646279</v>
      </c>
      <c r="D78" s="10">
        <f>ROUNDUP((C78^2*$C$75^2*$C$3)/(($C$152^2*$C$3)+(C78^2*$C$75^2)),0)</f>
        <v>5</v>
      </c>
    </row>
    <row r="79" spans="1:4" x14ac:dyDescent="0.2">
      <c r="B79" s="10">
        <v>2</v>
      </c>
      <c r="C79" s="11">
        <v>2.1199052992212502</v>
      </c>
      <c r="D79" s="10">
        <f t="shared" ref="D79:D81" si="1">ROUNDUP((C79^2*$C$75^2*$C$3)/(($C$152^2*$C$3)+(C79^2*$C$75^2)),0)</f>
        <v>5</v>
      </c>
    </row>
    <row r="80" spans="1:4" x14ac:dyDescent="0.2">
      <c r="B80" s="10">
        <v>3</v>
      </c>
      <c r="C80" s="11">
        <v>2.1199052992212502</v>
      </c>
      <c r="D80" s="10">
        <f t="shared" si="1"/>
        <v>5</v>
      </c>
    </row>
    <row r="81" spans="1:9" x14ac:dyDescent="0.2">
      <c r="B81" s="10">
        <v>4</v>
      </c>
      <c r="C81" s="11">
        <v>2.1199052992212502</v>
      </c>
      <c r="D81" s="10">
        <f t="shared" si="1"/>
        <v>5</v>
      </c>
    </row>
    <row r="82" spans="1:9" x14ac:dyDescent="0.2">
      <c r="B82" s="4"/>
    </row>
    <row r="85" spans="1:9" x14ac:dyDescent="0.2">
      <c r="A85" s="13" t="s">
        <v>16</v>
      </c>
      <c r="B85" s="4"/>
      <c r="C85" s="6"/>
      <c r="F85" s="10"/>
      <c r="G85" s="10"/>
      <c r="H85" s="10"/>
      <c r="I85" s="10"/>
    </row>
    <row r="86" spans="1:9" x14ac:dyDescent="0.2">
      <c r="A86" t="s">
        <v>29</v>
      </c>
      <c r="B86" s="4" t="s">
        <v>57</v>
      </c>
      <c r="C86" s="9">
        <v>14</v>
      </c>
      <c r="F86" s="10" t="s">
        <v>52</v>
      </c>
      <c r="G86" s="10" t="s">
        <v>53</v>
      </c>
      <c r="H86" s="10" t="s">
        <v>54</v>
      </c>
      <c r="I86" s="10" t="s">
        <v>55</v>
      </c>
    </row>
    <row r="87" spans="1:9" x14ac:dyDescent="0.2">
      <c r="A87" t="s">
        <v>58</v>
      </c>
      <c r="B87" s="4" t="s">
        <v>59</v>
      </c>
      <c r="C87" s="6">
        <f>AVERAGE(Dados!G10:G23)</f>
        <v>4.8514285714285714</v>
      </c>
      <c r="D87" t="s">
        <v>33</v>
      </c>
      <c r="F87" s="10"/>
      <c r="G87" s="10"/>
      <c r="H87" s="10"/>
      <c r="I87" s="10"/>
    </row>
    <row r="88" spans="1:9" x14ac:dyDescent="0.2">
      <c r="A88" t="s">
        <v>77</v>
      </c>
      <c r="B88" s="4" t="s">
        <v>60</v>
      </c>
      <c r="C88" s="6" t="e">
        <f>AVERAGE(Dados!E49:E62)</f>
        <v>#DIV/0!</v>
      </c>
      <c r="D88" t="s">
        <v>76</v>
      </c>
      <c r="F88" s="10">
        <v>1</v>
      </c>
      <c r="G88" s="10">
        <f>Dados!$G$10^2</f>
        <v>88.172100000000015</v>
      </c>
      <c r="H88" s="10">
        <f>Dados!E49^2</f>
        <v>0</v>
      </c>
      <c r="I88" s="10">
        <f>Dados!E49*Dados!$G$10</f>
        <v>0</v>
      </c>
    </row>
    <row r="89" spans="1:9" x14ac:dyDescent="0.2">
      <c r="B89" s="4"/>
      <c r="F89" s="10">
        <v>2</v>
      </c>
      <c r="G89" s="10">
        <f>Dados!$G$11^2</f>
        <v>6.1009000000000011</v>
      </c>
      <c r="H89" s="10">
        <f>Dados!E50^2</f>
        <v>0</v>
      </c>
      <c r="I89" s="10">
        <f>Dados!E50*Dados!$G$11</f>
        <v>0</v>
      </c>
    </row>
    <row r="90" spans="1:9" x14ac:dyDescent="0.2">
      <c r="B90" s="4" t="s">
        <v>61</v>
      </c>
      <c r="C90">
        <v>67.92</v>
      </c>
      <c r="F90" s="10">
        <v>3</v>
      </c>
      <c r="G90" s="10">
        <f>Dados!$G$12^2</f>
        <v>40.960000000000008</v>
      </c>
      <c r="H90" s="10">
        <f>Dados!E51^2</f>
        <v>0</v>
      </c>
      <c r="I90" s="10">
        <f>Dados!E51*Dados!$G$12</f>
        <v>0</v>
      </c>
    </row>
    <row r="91" spans="1:9" x14ac:dyDescent="0.2">
      <c r="B91" s="4" t="s">
        <v>62</v>
      </c>
      <c r="C91">
        <f>SUM(Dados!E49:E62)</f>
        <v>0</v>
      </c>
      <c r="F91" s="10">
        <v>4</v>
      </c>
      <c r="G91" s="10">
        <f>Dados!$G$13^2</f>
        <v>7.3441000000000001</v>
      </c>
      <c r="H91" s="10">
        <f>Dados!E52^2</f>
        <v>0</v>
      </c>
      <c r="I91" s="10">
        <f>Dados!E52*Dados!$G$13</f>
        <v>0</v>
      </c>
    </row>
    <row r="92" spans="1:9" x14ac:dyDescent="0.2">
      <c r="B92" s="4" t="s">
        <v>63</v>
      </c>
      <c r="C92">
        <v>449.74900000000002</v>
      </c>
      <c r="F92" s="10">
        <v>5</v>
      </c>
      <c r="G92" s="10">
        <f>Dados!$G$14^2</f>
        <v>3.6863999999999999</v>
      </c>
      <c r="H92" s="10">
        <f>Dados!E53^2</f>
        <v>0</v>
      </c>
      <c r="I92" s="10">
        <f>Dados!E53*Dados!$G$14</f>
        <v>0</v>
      </c>
    </row>
    <row r="93" spans="1:9" x14ac:dyDescent="0.2">
      <c r="B93" s="4" t="s">
        <v>64</v>
      </c>
      <c r="C93">
        <f>SUM(H88:H101)</f>
        <v>0</v>
      </c>
      <c r="F93" s="10">
        <v>6</v>
      </c>
      <c r="G93" s="10">
        <f>Dados!$G$15^2</f>
        <v>5.0176000000000007</v>
      </c>
      <c r="H93" s="10">
        <f>Dados!E54^2</f>
        <v>0</v>
      </c>
      <c r="I93" s="10">
        <f>Dados!E54*Dados!$G$15</f>
        <v>0</v>
      </c>
    </row>
    <row r="94" spans="1:9" x14ac:dyDescent="0.2">
      <c r="B94" s="4" t="s">
        <v>65</v>
      </c>
      <c r="C94">
        <f>SUM(I88:I101)</f>
        <v>0</v>
      </c>
      <c r="F94" s="10">
        <v>7</v>
      </c>
      <c r="G94" s="10">
        <f>Dados!$G$16^2</f>
        <v>14.288399999999999</v>
      </c>
      <c r="H94" s="10">
        <f>Dados!E55^2</f>
        <v>0</v>
      </c>
      <c r="I94" s="10">
        <f>Dados!E55*Dados!$G$16</f>
        <v>0</v>
      </c>
    </row>
    <row r="95" spans="1:9" x14ac:dyDescent="0.2">
      <c r="B95" s="4"/>
      <c r="F95" s="10">
        <v>8</v>
      </c>
      <c r="G95" s="10">
        <f>Dados!$G$17^2</f>
        <v>115.5625</v>
      </c>
      <c r="H95" s="10">
        <f>Dados!E56^2</f>
        <v>0</v>
      </c>
      <c r="I95" s="10">
        <f>Dados!E56*Dados!$G$17</f>
        <v>0</v>
      </c>
    </row>
    <row r="96" spans="1:9" x14ac:dyDescent="0.2">
      <c r="B96" s="4" t="s">
        <v>66</v>
      </c>
      <c r="C96" s="6">
        <f>(C94-(C90*C91)/C86)/(C92-(C90^2/C86))</f>
        <v>0</v>
      </c>
      <c r="F96" s="10">
        <v>9</v>
      </c>
      <c r="G96" s="10">
        <f>Dados!$G$18^2</f>
        <v>7.5076000000000009</v>
      </c>
      <c r="H96" s="10">
        <f>Dados!E57^2</f>
        <v>0</v>
      </c>
      <c r="I96" s="10">
        <f>Dados!E57*Dados!$G$18</f>
        <v>0</v>
      </c>
    </row>
    <row r="97" spans="1:9" x14ac:dyDescent="0.2">
      <c r="B97" s="4"/>
      <c r="C97" s="6"/>
      <c r="F97" s="10">
        <v>10</v>
      </c>
      <c r="G97" s="10">
        <f>Dados!$G$19^2</f>
        <v>28.515599999999999</v>
      </c>
      <c r="H97" s="10">
        <f>Dados!E58^2</f>
        <v>0</v>
      </c>
      <c r="I97" s="10">
        <f>Dados!E58*Dados!$G$19</f>
        <v>0</v>
      </c>
    </row>
    <row r="98" spans="1:9" x14ac:dyDescent="0.2">
      <c r="A98" t="s">
        <v>67</v>
      </c>
      <c r="B98" s="4" t="s">
        <v>68</v>
      </c>
      <c r="C98" s="6">
        <f>-1*(((C93-(C91^2/C86))-C96*(C92-(C90^2/C86)))/C86-2)</f>
        <v>2</v>
      </c>
      <c r="D98" t="s">
        <v>36</v>
      </c>
      <c r="F98" s="10">
        <v>11</v>
      </c>
      <c r="G98" s="10">
        <f>Dados!$G$20^2</f>
        <v>70.728099999999998</v>
      </c>
      <c r="H98" s="10">
        <f>Dados!E59^2</f>
        <v>0</v>
      </c>
      <c r="I98" s="10">
        <f>Dados!E59*Dados!$G$20</f>
        <v>0</v>
      </c>
    </row>
    <row r="99" spans="1:9" x14ac:dyDescent="0.2">
      <c r="B99" s="4"/>
      <c r="C99" s="6"/>
      <c r="F99" s="10">
        <v>12</v>
      </c>
      <c r="G99" s="10">
        <f>Dados!$G$21^2</f>
        <v>50.41</v>
      </c>
      <c r="H99" s="10">
        <f>Dados!E60^2</f>
        <v>0</v>
      </c>
      <c r="I99" s="10">
        <f>Dados!E60*Dados!$G$21</f>
        <v>0</v>
      </c>
    </row>
    <row r="100" spans="1:9" x14ac:dyDescent="0.2">
      <c r="A100" t="s">
        <v>69</v>
      </c>
      <c r="B100" s="4" t="s">
        <v>70</v>
      </c>
      <c r="C100" s="6">
        <f>(C91/C86)+C96*(C82-(C90/C86))</f>
        <v>0</v>
      </c>
      <c r="D100" t="s">
        <v>33</v>
      </c>
      <c r="F100" s="10">
        <v>13</v>
      </c>
      <c r="G100" s="10">
        <f>Dados!$G$22^2</f>
        <v>3.2761</v>
      </c>
      <c r="H100" s="10">
        <f>Dados!E61^2</f>
        <v>0</v>
      </c>
      <c r="I100" s="10">
        <f>Dados!E61*Dados!$G$22</f>
        <v>0</v>
      </c>
    </row>
    <row r="101" spans="1:9" x14ac:dyDescent="0.2">
      <c r="B101" s="4"/>
      <c r="F101" s="10">
        <v>14</v>
      </c>
      <c r="G101" s="10">
        <f>Dados!$G$23^2</f>
        <v>8.1795999999999989</v>
      </c>
      <c r="H101" s="10">
        <f>Dados!E62^2</f>
        <v>0</v>
      </c>
      <c r="I101" s="10">
        <f>Dados!E62*Dados!$G$23</f>
        <v>0</v>
      </c>
    </row>
    <row r="102" spans="1:9" x14ac:dyDescent="0.2">
      <c r="A102" t="s">
        <v>37</v>
      </c>
      <c r="B102" s="4" t="s">
        <v>38</v>
      </c>
      <c r="C102">
        <v>0.8</v>
      </c>
    </row>
    <row r="103" spans="1:9" x14ac:dyDescent="0.2">
      <c r="B103" s="4" t="s">
        <v>71</v>
      </c>
      <c r="C103" s="6">
        <f>(C98/C86)*(1-C102)</f>
        <v>2.8571428571428564E-2</v>
      </c>
      <c r="D103" t="s">
        <v>36</v>
      </c>
    </row>
    <row r="104" spans="1:9" x14ac:dyDescent="0.2">
      <c r="B104" s="4"/>
      <c r="C104" s="6"/>
    </row>
    <row r="105" spans="1:9" x14ac:dyDescent="0.2">
      <c r="A105" t="s">
        <v>40</v>
      </c>
      <c r="B105" s="4" t="s">
        <v>41</v>
      </c>
      <c r="C105" s="6">
        <v>2.16036865646279</v>
      </c>
    </row>
    <row r="106" spans="1:9" x14ac:dyDescent="0.2">
      <c r="B106" s="4"/>
      <c r="C106" s="6"/>
    </row>
    <row r="107" spans="1:9" x14ac:dyDescent="0.2">
      <c r="A107" t="s">
        <v>42</v>
      </c>
      <c r="B107" s="4"/>
      <c r="C107" s="6">
        <f>C105*SQRT(C103)</f>
        <v>0.36516895235833113</v>
      </c>
      <c r="D107" t="s">
        <v>33</v>
      </c>
    </row>
    <row r="108" spans="1:9" x14ac:dyDescent="0.2">
      <c r="A108" t="s">
        <v>72</v>
      </c>
      <c r="B108" s="4"/>
      <c r="C108" s="12" t="e">
        <f>(C107/C88)*100</f>
        <v>#DIV/0!</v>
      </c>
      <c r="D108" t="s">
        <v>43</v>
      </c>
    </row>
    <row r="109" spans="1:9" x14ac:dyDescent="0.2">
      <c r="B109" s="4"/>
    </row>
    <row r="110" spans="1:9" x14ac:dyDescent="0.2">
      <c r="B110" s="4"/>
    </row>
    <row r="111" spans="1:9" x14ac:dyDescent="0.2">
      <c r="A111" s="5" t="s">
        <v>44</v>
      </c>
      <c r="B111" s="4"/>
    </row>
    <row r="112" spans="1:9" x14ac:dyDescent="0.2">
      <c r="B112" s="4"/>
    </row>
    <row r="113" spans="1:9" x14ac:dyDescent="0.2">
      <c r="A113" t="s">
        <v>45</v>
      </c>
      <c r="B113" s="4" t="s">
        <v>46</v>
      </c>
      <c r="C113" s="10">
        <v>5</v>
      </c>
    </row>
    <row r="114" spans="1:9" x14ac:dyDescent="0.2">
      <c r="A114" t="s">
        <v>47</v>
      </c>
      <c r="B114" s="4" t="s">
        <v>48</v>
      </c>
      <c r="C114" s="6">
        <v>10.77054592286</v>
      </c>
    </row>
    <row r="115" spans="1:9" x14ac:dyDescent="0.2">
      <c r="B115" s="4"/>
    </row>
    <row r="116" spans="1:9" x14ac:dyDescent="0.2">
      <c r="B116" s="10" t="s">
        <v>49</v>
      </c>
      <c r="C116" s="10" t="s">
        <v>50</v>
      </c>
      <c r="D116" s="10" t="s">
        <v>51</v>
      </c>
    </row>
    <row r="117" spans="1:9" x14ac:dyDescent="0.2">
      <c r="B117" s="10">
        <v>1</v>
      </c>
      <c r="C117" s="11">
        <v>2.16036865646279</v>
      </c>
      <c r="D117" s="10">
        <v>17</v>
      </c>
    </row>
    <row r="118" spans="1:9" x14ac:dyDescent="0.2">
      <c r="B118" s="10">
        <v>2</v>
      </c>
      <c r="C118" s="11">
        <v>2.1199052992212502</v>
      </c>
      <c r="D118" s="10">
        <v>17</v>
      </c>
    </row>
    <row r="119" spans="1:9" x14ac:dyDescent="0.2">
      <c r="B119" s="10">
        <v>3</v>
      </c>
      <c r="C119" s="11">
        <v>2.1199052992212502</v>
      </c>
      <c r="D119" s="10">
        <v>17</v>
      </c>
    </row>
    <row r="120" spans="1:9" x14ac:dyDescent="0.2">
      <c r="B120" s="10">
        <v>4</v>
      </c>
      <c r="C120" s="11">
        <v>2.1199052992212502</v>
      </c>
      <c r="D120" s="10">
        <v>17</v>
      </c>
    </row>
    <row r="121" spans="1:9" x14ac:dyDescent="0.2">
      <c r="B121" s="4"/>
    </row>
    <row r="124" spans="1:9" x14ac:dyDescent="0.2">
      <c r="A124" s="13" t="s">
        <v>78</v>
      </c>
      <c r="B124" s="4"/>
      <c r="C124" s="6"/>
    </row>
    <row r="125" spans="1:9" x14ac:dyDescent="0.2">
      <c r="A125" t="s">
        <v>29</v>
      </c>
      <c r="B125" s="4" t="s">
        <v>57</v>
      </c>
      <c r="C125" s="9">
        <v>14</v>
      </c>
      <c r="F125" s="10" t="s">
        <v>52</v>
      </c>
      <c r="G125" s="10" t="s">
        <v>53</v>
      </c>
      <c r="H125" s="10" t="s">
        <v>54</v>
      </c>
      <c r="I125" s="10" t="s">
        <v>55</v>
      </c>
    </row>
    <row r="126" spans="1:9" x14ac:dyDescent="0.2">
      <c r="A126" t="s">
        <v>58</v>
      </c>
      <c r="B126" s="4" t="s">
        <v>59</v>
      </c>
      <c r="C126" s="6">
        <f>AVERAGE(Dados!G10:G23)</f>
        <v>4.8514285714285714</v>
      </c>
      <c r="D126" t="s">
        <v>33</v>
      </c>
      <c r="F126" s="10"/>
      <c r="G126" s="10"/>
      <c r="H126" s="10"/>
      <c r="I126" s="10"/>
    </row>
    <row r="127" spans="1:9" x14ac:dyDescent="0.2">
      <c r="A127" t="s">
        <v>79</v>
      </c>
      <c r="B127" s="4" t="s">
        <v>60</v>
      </c>
      <c r="C127" s="6">
        <f>AVERAGE(Dados!F10:F23)</f>
        <v>114.86500000000001</v>
      </c>
      <c r="D127" t="s">
        <v>80</v>
      </c>
      <c r="F127" s="10">
        <v>1</v>
      </c>
      <c r="G127" s="10">
        <f>Dados!$G$10^2</f>
        <v>88.172100000000015</v>
      </c>
      <c r="H127" s="10">
        <f>Dados!F10^2</f>
        <v>35051.328399999999</v>
      </c>
      <c r="I127" s="10">
        <f>Dados!F10*Dados!$G$10</f>
        <v>1757.9958000000001</v>
      </c>
    </row>
    <row r="128" spans="1:9" x14ac:dyDescent="0.2">
      <c r="B128" s="4"/>
      <c r="F128" s="10">
        <v>2</v>
      </c>
      <c r="G128" s="10">
        <f>Dados!$G$11^2</f>
        <v>6.1009000000000011</v>
      </c>
      <c r="H128" s="10">
        <f>Dados!F11^2</f>
        <v>6400</v>
      </c>
      <c r="I128" s="10">
        <f>Dados!F11*Dados!$G$10</f>
        <v>751.2</v>
      </c>
    </row>
    <row r="129" spans="1:9" x14ac:dyDescent="0.2">
      <c r="B129" s="4" t="s">
        <v>61</v>
      </c>
      <c r="C129">
        <v>67.92</v>
      </c>
      <c r="F129" s="10">
        <v>3</v>
      </c>
      <c r="G129" s="10">
        <f>Dados!$G$12^2</f>
        <v>40.960000000000008</v>
      </c>
      <c r="H129" s="10">
        <f>Dados!F12^2</f>
        <v>18936.512100000004</v>
      </c>
      <c r="I129" s="10">
        <f>Dados!F12*Dados!$G$10</f>
        <v>1292.1579000000002</v>
      </c>
    </row>
    <row r="130" spans="1:9" x14ac:dyDescent="0.2">
      <c r="B130" s="4" t="s">
        <v>62</v>
      </c>
      <c r="C130">
        <f>SUM(Dados!F10:F23)</f>
        <v>1608.1100000000001</v>
      </c>
      <c r="F130" s="10">
        <v>4</v>
      </c>
      <c r="G130" s="10">
        <f>Dados!$G$13^2</f>
        <v>7.3441000000000001</v>
      </c>
      <c r="H130" s="10">
        <f>Dados!F13^2</f>
        <v>7017.4128999999994</v>
      </c>
      <c r="I130" s="10">
        <f>Dados!F13*Dados!$G$10</f>
        <v>786.60030000000006</v>
      </c>
    </row>
    <row r="131" spans="1:9" x14ac:dyDescent="0.2">
      <c r="B131" s="4" t="s">
        <v>63</v>
      </c>
      <c r="C131">
        <v>449.74900000000002</v>
      </c>
      <c r="F131" s="10">
        <v>5</v>
      </c>
      <c r="G131" s="10">
        <f>Dados!$G$14^2</f>
        <v>3.6863999999999999</v>
      </c>
      <c r="H131" s="10">
        <f>Dados!F14^2</f>
        <v>5330.4601000000011</v>
      </c>
      <c r="I131" s="10">
        <f>Dados!F14*Dados!$G$10</f>
        <v>685.5639000000001</v>
      </c>
    </row>
    <row r="132" spans="1:9" x14ac:dyDescent="0.2">
      <c r="B132" s="4" t="s">
        <v>64</v>
      </c>
      <c r="C132">
        <f>SUM(H127:H140)</f>
        <v>208032.9589</v>
      </c>
      <c r="F132" s="10">
        <v>6</v>
      </c>
      <c r="G132" s="10">
        <f>Dados!$G$15^2</f>
        <v>5.0176000000000007</v>
      </c>
      <c r="H132" s="10">
        <f>Dados!F15^2</f>
        <v>5130.8568999999998</v>
      </c>
      <c r="I132" s="10">
        <f>Dados!F15*Dados!$G$10</f>
        <v>672.60569999999996</v>
      </c>
    </row>
    <row r="133" spans="1:9" x14ac:dyDescent="0.2">
      <c r="B133" s="4" t="s">
        <v>65</v>
      </c>
      <c r="C133">
        <f>SUM(I127:I140)</f>
        <v>15100.152900000001</v>
      </c>
      <c r="F133" s="10">
        <v>7</v>
      </c>
      <c r="G133" s="10">
        <f>Dados!$G$16^2</f>
        <v>14.288399999999999</v>
      </c>
      <c r="H133" s="10">
        <f>Dados!F16^2</f>
        <v>11289.0625</v>
      </c>
      <c r="I133" s="10">
        <f>Dados!F16*Dados!$G$10</f>
        <v>997.68750000000011</v>
      </c>
    </row>
    <row r="134" spans="1:9" x14ac:dyDescent="0.2">
      <c r="B134" s="4"/>
      <c r="F134" s="10">
        <v>8</v>
      </c>
      <c r="G134" s="10">
        <f>Dados!$G$17^2</f>
        <v>115.5625</v>
      </c>
      <c r="H134" s="10">
        <f>Dados!F17^2</f>
        <v>37106.316899999998</v>
      </c>
      <c r="I134" s="10">
        <f>Dados!F17*Dados!$G$10</f>
        <v>1808.7957000000001</v>
      </c>
    </row>
    <row r="135" spans="1:9" x14ac:dyDescent="0.2">
      <c r="B135" s="4" t="s">
        <v>66</v>
      </c>
      <c r="C135" s="6">
        <f>(C133-(C129*C130)/C125)/(C131-(C129^2/C125))</f>
        <v>60.699632686919657</v>
      </c>
      <c r="F135" s="10">
        <v>9</v>
      </c>
      <c r="G135" s="10">
        <f>Dados!$G$18^2</f>
        <v>7.5076000000000009</v>
      </c>
      <c r="H135" s="10">
        <f>Dados!F18^2</f>
        <v>11620.84</v>
      </c>
      <c r="I135" s="10">
        <f>Dados!F18*Dados!$G$10</f>
        <v>1012.2420000000001</v>
      </c>
    </row>
    <row r="136" spans="1:9" x14ac:dyDescent="0.2">
      <c r="B136" s="4"/>
      <c r="C136" s="6"/>
      <c r="F136" s="10">
        <v>10</v>
      </c>
      <c r="G136" s="10">
        <f>Dados!$G$19^2</f>
        <v>28.515599999999999</v>
      </c>
      <c r="H136" s="10">
        <f>Dados!F19^2</f>
        <v>13672.624900000001</v>
      </c>
      <c r="I136" s="10">
        <f>Dados!F19*Dados!$G$10</f>
        <v>1097.9727</v>
      </c>
    </row>
    <row r="137" spans="1:9" x14ac:dyDescent="0.2">
      <c r="A137" t="s">
        <v>67</v>
      </c>
      <c r="B137" s="4" t="s">
        <v>68</v>
      </c>
      <c r="C137" s="6">
        <f>(((C132-(C130^2/C125))-C135*(C131-(C129^2/C125)))/C125-2)</f>
        <v>1142.2058321428528</v>
      </c>
      <c r="D137" t="s">
        <v>36</v>
      </c>
      <c r="F137" s="10">
        <v>11</v>
      </c>
      <c r="G137" s="10">
        <f>Dados!$G$20^2</f>
        <v>70.728099999999998</v>
      </c>
      <c r="H137" s="10">
        <f>Dados!F20^2</f>
        <v>21362.745599999998</v>
      </c>
      <c r="I137" s="10">
        <f>Dados!F20*Dados!$G$10</f>
        <v>1372.4424000000001</v>
      </c>
    </row>
    <row r="138" spans="1:9" x14ac:dyDescent="0.2">
      <c r="B138" s="4"/>
      <c r="C138" s="6"/>
      <c r="F138" s="10">
        <v>12</v>
      </c>
      <c r="G138" s="10">
        <f>Dados!$G$21^2</f>
        <v>50.41</v>
      </c>
      <c r="H138" s="10">
        <f>Dados!F21^2</f>
        <v>23338.672900000001</v>
      </c>
      <c r="I138" s="10">
        <f>Dados!F21*Dados!$G$10</f>
        <v>1434.5103000000001</v>
      </c>
    </row>
    <row r="139" spans="1:9" x14ac:dyDescent="0.2">
      <c r="A139" t="s">
        <v>69</v>
      </c>
      <c r="B139" s="4" t="s">
        <v>70</v>
      </c>
      <c r="C139" s="6">
        <f>((C130/C125)+C135*(C121-(C129/C125)))*-1</f>
        <v>179.61493229254165</v>
      </c>
      <c r="D139" t="s">
        <v>33</v>
      </c>
      <c r="F139" s="10">
        <v>13</v>
      </c>
      <c r="G139" s="10">
        <f>Dados!$G$22^2</f>
        <v>3.2761</v>
      </c>
      <c r="H139" s="10">
        <f>Dados!F22^2</f>
        <v>7308.5400999999993</v>
      </c>
      <c r="I139" s="10">
        <f>Dados!F22*Dados!$G$10</f>
        <v>802.75109999999995</v>
      </c>
    </row>
    <row r="140" spans="1:9" x14ac:dyDescent="0.2">
      <c r="B140" s="4"/>
      <c r="F140" s="10">
        <v>14</v>
      </c>
      <c r="G140" s="10">
        <f>Dados!$G$23^2</f>
        <v>8.1795999999999989</v>
      </c>
      <c r="H140" s="10">
        <f>Dados!F23^2</f>
        <v>4467.5856000000003</v>
      </c>
      <c r="I140" s="10">
        <f>Dados!F23*Dados!$G$10</f>
        <v>627.62760000000003</v>
      </c>
    </row>
    <row r="141" spans="1:9" x14ac:dyDescent="0.2">
      <c r="A141" t="s">
        <v>37</v>
      </c>
      <c r="B141" s="4" t="s">
        <v>38</v>
      </c>
      <c r="C141">
        <v>0.8</v>
      </c>
    </row>
    <row r="142" spans="1:9" x14ac:dyDescent="0.2">
      <c r="B142" s="4" t="s">
        <v>71</v>
      </c>
      <c r="C142" s="6">
        <f>(C137/C125)*(C141)</f>
        <v>65.268904693877303</v>
      </c>
      <c r="D142" t="s">
        <v>36</v>
      </c>
    </row>
    <row r="143" spans="1:9" x14ac:dyDescent="0.2">
      <c r="B143" s="4"/>
      <c r="C143" s="6"/>
    </row>
    <row r="144" spans="1:9" x14ac:dyDescent="0.2">
      <c r="A144" t="s">
        <v>40</v>
      </c>
      <c r="B144" s="4" t="s">
        <v>41</v>
      </c>
      <c r="C144" s="6">
        <v>2.16036865646279</v>
      </c>
    </row>
    <row r="145" spans="1:4" x14ac:dyDescent="0.2">
      <c r="B145" s="4"/>
      <c r="C145" s="6"/>
    </row>
    <row r="146" spans="1:4" x14ac:dyDescent="0.2">
      <c r="A146" t="s">
        <v>42</v>
      </c>
      <c r="B146" s="4"/>
      <c r="C146" s="6">
        <f>C144*SQRT(C142)</f>
        <v>17.453439706876203</v>
      </c>
      <c r="D146" t="s">
        <v>33</v>
      </c>
    </row>
    <row r="147" spans="1:4" x14ac:dyDescent="0.2">
      <c r="A147" t="s">
        <v>72</v>
      </c>
      <c r="B147" s="4"/>
      <c r="C147" s="12">
        <f>(C146/C127)*100</f>
        <v>15.194741398055283</v>
      </c>
      <c r="D147" t="s">
        <v>43</v>
      </c>
    </row>
    <row r="148" spans="1:4" x14ac:dyDescent="0.2">
      <c r="B148" s="4"/>
    </row>
    <row r="149" spans="1:4" x14ac:dyDescent="0.2">
      <c r="B149" s="4"/>
    </row>
    <row r="150" spans="1:4" x14ac:dyDescent="0.2">
      <c r="A150" s="5" t="s">
        <v>44</v>
      </c>
      <c r="B150" s="4"/>
    </row>
    <row r="151" spans="1:4" x14ac:dyDescent="0.2">
      <c r="B151" s="4"/>
    </row>
    <row r="152" spans="1:4" x14ac:dyDescent="0.2">
      <c r="A152" t="s">
        <v>45</v>
      </c>
      <c r="B152" s="4" t="s">
        <v>46</v>
      </c>
      <c r="C152" s="10">
        <v>5</v>
      </c>
    </row>
    <row r="153" spans="1:4" x14ac:dyDescent="0.2">
      <c r="A153" t="s">
        <v>47</v>
      </c>
      <c r="B153" s="4" t="s">
        <v>48</v>
      </c>
      <c r="C153" s="6">
        <f>((SQRT(C137))/C139)*100</f>
        <v>18.816105860215917</v>
      </c>
    </row>
    <row r="154" spans="1:4" x14ac:dyDescent="0.2">
      <c r="B154" s="4"/>
    </row>
    <row r="155" spans="1:4" x14ac:dyDescent="0.2">
      <c r="B155" s="10" t="s">
        <v>49</v>
      </c>
      <c r="C155" s="10" t="s">
        <v>50</v>
      </c>
      <c r="D155" s="10" t="s">
        <v>51</v>
      </c>
    </row>
    <row r="156" spans="1:4" x14ac:dyDescent="0.2">
      <c r="B156" s="10">
        <v>1</v>
      </c>
      <c r="C156" s="11">
        <v>2.16036865646279</v>
      </c>
      <c r="D156" s="10">
        <f>ROUNDUP((C156^2*$C$153^2*$C$3)/(($C$152^2*$C$3)+(C156^2*$C$153^2)),1)</f>
        <v>34</v>
      </c>
    </row>
    <row r="157" spans="1:4" x14ac:dyDescent="0.2">
      <c r="B157" s="10">
        <v>2</v>
      </c>
      <c r="C157" s="11">
        <v>2.1199052992212502</v>
      </c>
      <c r="D157" s="10">
        <f>ROUNDUP((C157^2*$C$153^2*$C$3)/(($C$152^2*$C$3)+(C157^2*$C$153^2)),0)</f>
        <v>34</v>
      </c>
    </row>
    <row r="158" spans="1:4" x14ac:dyDescent="0.2">
      <c r="B158" s="10">
        <v>3</v>
      </c>
      <c r="C158" s="11">
        <v>2.1199052992212502</v>
      </c>
      <c r="D158" s="10">
        <f t="shared" ref="D158:D159" si="2">ROUNDUP((C158^2*$C$153^2*$C$3)/(($C$152^2*$C$3)+(C158^2*$C$153^2)),0)</f>
        <v>34</v>
      </c>
    </row>
    <row r="159" spans="1:4" x14ac:dyDescent="0.2">
      <c r="B159" s="10">
        <v>4</v>
      </c>
      <c r="C159" s="11">
        <v>2.1199052992212502</v>
      </c>
      <c r="D159" s="10">
        <f t="shared" si="2"/>
        <v>34</v>
      </c>
    </row>
    <row r="160" spans="1:4" x14ac:dyDescent="0.2">
      <c r="B160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6" zoomScale="98" zoomScaleNormal="98" workbookViewId="0">
      <selection activeCell="F23" sqref="F23"/>
    </sheetView>
  </sheetViews>
  <sheetFormatPr defaultColWidth="11.5703125" defaultRowHeight="12.75" x14ac:dyDescent="0.2"/>
  <cols>
    <col min="1" max="1" width="11.42578125" customWidth="1"/>
    <col min="14" max="14" width="17.42578125" customWidth="1"/>
    <col min="15" max="15" width="17.5703125" customWidth="1"/>
  </cols>
  <sheetData>
    <row r="1" spans="1:15" ht="26.45" customHeight="1" x14ac:dyDescent="0.2">
      <c r="A1" s="17" t="s">
        <v>19</v>
      </c>
      <c r="B1" s="17"/>
      <c r="C1" s="17"/>
      <c r="D1" s="17"/>
      <c r="E1" s="17"/>
      <c r="F1" s="17"/>
      <c r="G1" s="17"/>
    </row>
    <row r="3" spans="1:15" ht="38.25" x14ac:dyDescent="0.2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N3" s="1" t="s">
        <v>12</v>
      </c>
      <c r="O3" s="1" t="s">
        <v>11</v>
      </c>
    </row>
    <row r="4" spans="1:15" x14ac:dyDescent="0.2">
      <c r="A4" s="2">
        <v>1</v>
      </c>
      <c r="B4" s="2">
        <v>162.86000000000001</v>
      </c>
      <c r="C4" s="2">
        <v>17.89</v>
      </c>
      <c r="D4" s="2">
        <v>31.4</v>
      </c>
      <c r="E4" s="2">
        <v>187.22</v>
      </c>
      <c r="F4" s="2">
        <v>9.39</v>
      </c>
      <c r="N4" s="2">
        <v>9.39</v>
      </c>
      <c r="O4" s="2">
        <v>187.22</v>
      </c>
    </row>
    <row r="5" spans="1:15" x14ac:dyDescent="0.2">
      <c r="A5" s="2">
        <v>2</v>
      </c>
      <c r="B5" s="2">
        <v>125.71</v>
      </c>
      <c r="C5" s="2">
        <v>9.08</v>
      </c>
      <c r="D5" s="2">
        <v>27.38</v>
      </c>
      <c r="E5" s="2">
        <v>80</v>
      </c>
      <c r="F5" s="2">
        <v>2.4700000000000002</v>
      </c>
      <c r="N5" s="2">
        <v>2.4700000000000002</v>
      </c>
      <c r="O5" s="2">
        <v>80</v>
      </c>
    </row>
    <row r="6" spans="1:15" x14ac:dyDescent="0.2">
      <c r="A6" s="2">
        <v>3</v>
      </c>
      <c r="B6" s="2">
        <v>151.43</v>
      </c>
      <c r="C6" s="2">
        <v>13.92</v>
      </c>
      <c r="D6" s="2">
        <v>29.59</v>
      </c>
      <c r="E6" s="2">
        <v>137.61000000000001</v>
      </c>
      <c r="F6" s="2">
        <v>6.4</v>
      </c>
      <c r="N6" s="2">
        <v>6.4</v>
      </c>
      <c r="O6" s="2">
        <v>137.61000000000001</v>
      </c>
    </row>
    <row r="7" spans="1:15" x14ac:dyDescent="0.2">
      <c r="A7" s="2">
        <v>4</v>
      </c>
      <c r="B7" s="2">
        <v>140</v>
      </c>
      <c r="C7" s="2">
        <v>9.58</v>
      </c>
      <c r="D7" s="2">
        <v>26.68</v>
      </c>
      <c r="E7" s="2">
        <v>83.77</v>
      </c>
      <c r="F7" s="2">
        <v>2.71</v>
      </c>
      <c r="N7" s="2">
        <v>2.71</v>
      </c>
      <c r="O7" s="2">
        <v>83.77</v>
      </c>
    </row>
    <row r="8" spans="1:15" x14ac:dyDescent="0.2">
      <c r="A8" s="2">
        <v>5</v>
      </c>
      <c r="B8" s="2">
        <v>140</v>
      </c>
      <c r="C8" s="2">
        <v>8.51</v>
      </c>
      <c r="D8" s="2">
        <v>25.01</v>
      </c>
      <c r="E8" s="2">
        <v>73.010000000000005</v>
      </c>
      <c r="F8" s="2">
        <v>1.92</v>
      </c>
      <c r="N8" s="2">
        <v>1.92</v>
      </c>
      <c r="O8" s="2">
        <v>73.010000000000005</v>
      </c>
    </row>
    <row r="9" spans="1:15" x14ac:dyDescent="0.2">
      <c r="A9" s="2">
        <v>6</v>
      </c>
      <c r="B9" s="2">
        <v>111.43</v>
      </c>
      <c r="C9" s="2">
        <v>7.61</v>
      </c>
      <c r="D9" s="2">
        <v>25.51</v>
      </c>
      <c r="E9" s="2">
        <v>71.63</v>
      </c>
      <c r="F9" s="2">
        <v>2.2400000000000002</v>
      </c>
      <c r="N9" s="2">
        <v>2.2400000000000002</v>
      </c>
      <c r="O9" s="2">
        <v>71.63</v>
      </c>
    </row>
    <row r="10" spans="1:15" x14ac:dyDescent="0.2">
      <c r="A10" s="2">
        <v>7</v>
      </c>
      <c r="B10" s="2">
        <v>137.13999999999999</v>
      </c>
      <c r="C10" s="2">
        <v>11.25</v>
      </c>
      <c r="D10" s="2">
        <v>28.08</v>
      </c>
      <c r="E10" s="2">
        <v>106.25</v>
      </c>
      <c r="F10" s="2">
        <v>3.78</v>
      </c>
      <c r="N10" s="2">
        <v>3.78</v>
      </c>
      <c r="O10" s="2">
        <v>106.25</v>
      </c>
    </row>
    <row r="11" spans="1:15" x14ac:dyDescent="0.2">
      <c r="A11" s="2">
        <v>8</v>
      </c>
      <c r="B11" s="2">
        <v>131.43</v>
      </c>
      <c r="C11" s="2">
        <v>17.63</v>
      </c>
      <c r="D11" s="2">
        <v>34.57</v>
      </c>
      <c r="E11" s="2">
        <v>192.63</v>
      </c>
      <c r="F11" s="2">
        <v>10.75</v>
      </c>
      <c r="N11" s="2">
        <v>10.75</v>
      </c>
      <c r="O11" s="2">
        <v>192.63</v>
      </c>
    </row>
    <row r="12" spans="1:15" x14ac:dyDescent="0.2">
      <c r="A12" s="2">
        <v>9</v>
      </c>
      <c r="B12" s="2">
        <v>165.71</v>
      </c>
      <c r="C12" s="2">
        <v>12.26</v>
      </c>
      <c r="D12" s="2">
        <v>27.97</v>
      </c>
      <c r="E12" s="2">
        <v>107.8</v>
      </c>
      <c r="F12" s="2">
        <v>2.74</v>
      </c>
      <c r="N12" s="2">
        <v>2.74</v>
      </c>
      <c r="O12" s="2">
        <v>107.8</v>
      </c>
    </row>
    <row r="13" spans="1:15" x14ac:dyDescent="0.2">
      <c r="A13" s="2">
        <v>10</v>
      </c>
      <c r="B13" s="2">
        <v>145.71</v>
      </c>
      <c r="C13" s="2">
        <v>12.52</v>
      </c>
      <c r="D13" s="2">
        <v>29.37</v>
      </c>
      <c r="E13" s="2">
        <v>116.93</v>
      </c>
      <c r="F13" s="2">
        <v>5.34</v>
      </c>
      <c r="N13" s="2">
        <v>5.34</v>
      </c>
      <c r="O13" s="2">
        <v>116.93</v>
      </c>
    </row>
    <row r="14" spans="1:15" x14ac:dyDescent="0.2">
      <c r="A14" s="2">
        <v>11</v>
      </c>
      <c r="B14" s="2">
        <v>140</v>
      </c>
      <c r="C14" s="2">
        <v>14.97</v>
      </c>
      <c r="D14" s="2">
        <v>32.770000000000003</v>
      </c>
      <c r="E14" s="2">
        <v>146.16</v>
      </c>
      <c r="F14" s="2">
        <v>8.41</v>
      </c>
      <c r="N14" s="2">
        <v>8.41</v>
      </c>
      <c r="O14" s="2">
        <v>146.16</v>
      </c>
    </row>
    <row r="15" spans="1:15" x14ac:dyDescent="0.2">
      <c r="A15" s="2">
        <v>12</v>
      </c>
      <c r="B15" s="2">
        <v>137.13999999999999</v>
      </c>
      <c r="C15" s="2">
        <v>15.17</v>
      </c>
      <c r="D15" s="2">
        <v>32.93</v>
      </c>
      <c r="E15" s="2">
        <v>152.77000000000001</v>
      </c>
      <c r="F15" s="2">
        <v>7.1</v>
      </c>
      <c r="N15" s="2">
        <v>7.1</v>
      </c>
      <c r="O15" s="2">
        <v>152.77000000000001</v>
      </c>
    </row>
    <row r="16" spans="1:15" x14ac:dyDescent="0.2">
      <c r="A16" s="2">
        <v>13</v>
      </c>
      <c r="B16" s="2">
        <v>165.71</v>
      </c>
      <c r="C16" s="2">
        <v>10.25</v>
      </c>
      <c r="D16" s="2">
        <v>25.8</v>
      </c>
      <c r="E16" s="2">
        <v>85.49</v>
      </c>
      <c r="F16" s="2">
        <v>1.81</v>
      </c>
      <c r="N16" s="2">
        <v>1.81</v>
      </c>
      <c r="O16" s="2">
        <v>85.49</v>
      </c>
    </row>
    <row r="17" spans="1:15" x14ac:dyDescent="0.2">
      <c r="A17" s="2">
        <v>14</v>
      </c>
      <c r="B17" s="2">
        <v>94.29</v>
      </c>
      <c r="C17" s="2">
        <v>7.27</v>
      </c>
      <c r="D17" s="2">
        <v>27.46</v>
      </c>
      <c r="E17" s="2">
        <v>66.84</v>
      </c>
      <c r="F17" s="2">
        <v>2.86</v>
      </c>
      <c r="N17" s="2">
        <v>2.86</v>
      </c>
      <c r="O17" s="2">
        <v>66.84</v>
      </c>
    </row>
    <row r="20" spans="1:15" ht="25.5" x14ac:dyDescent="0.2">
      <c r="N20" s="1" t="s">
        <v>12</v>
      </c>
      <c r="O20" s="1" t="s">
        <v>10</v>
      </c>
    </row>
    <row r="21" spans="1:15" x14ac:dyDescent="0.2">
      <c r="N21" s="2">
        <v>9.39</v>
      </c>
      <c r="O21" s="2">
        <v>31.4</v>
      </c>
    </row>
    <row r="22" spans="1:15" x14ac:dyDescent="0.2">
      <c r="N22" s="2">
        <v>2.4700000000000002</v>
      </c>
      <c r="O22" s="2">
        <v>27.38</v>
      </c>
    </row>
    <row r="23" spans="1:15" x14ac:dyDescent="0.2">
      <c r="N23" s="2">
        <v>6.4</v>
      </c>
      <c r="O23" s="2">
        <v>29.59</v>
      </c>
    </row>
    <row r="24" spans="1:15" x14ac:dyDescent="0.2">
      <c r="N24" s="2">
        <v>2.71</v>
      </c>
      <c r="O24" s="2">
        <v>26.68</v>
      </c>
    </row>
    <row r="25" spans="1:15" x14ac:dyDescent="0.2">
      <c r="N25" s="2">
        <v>1.92</v>
      </c>
      <c r="O25" s="2">
        <v>25.01</v>
      </c>
    </row>
    <row r="26" spans="1:15" x14ac:dyDescent="0.2">
      <c r="N26" s="2">
        <v>2.2400000000000002</v>
      </c>
      <c r="O26" s="2">
        <v>25.51</v>
      </c>
    </row>
    <row r="27" spans="1:15" x14ac:dyDescent="0.2">
      <c r="N27" s="2">
        <v>3.78</v>
      </c>
      <c r="O27" s="2">
        <v>28.08</v>
      </c>
    </row>
    <row r="28" spans="1:15" x14ac:dyDescent="0.2">
      <c r="N28" s="2">
        <v>10.75</v>
      </c>
      <c r="O28" s="2">
        <v>34.57</v>
      </c>
    </row>
    <row r="29" spans="1:15" x14ac:dyDescent="0.2">
      <c r="N29" s="2">
        <v>2.74</v>
      </c>
      <c r="O29" s="2">
        <v>27.97</v>
      </c>
    </row>
    <row r="30" spans="1:15" x14ac:dyDescent="0.2">
      <c r="N30" s="2">
        <v>5.34</v>
      </c>
      <c r="O30" s="2">
        <v>29.37</v>
      </c>
    </row>
    <row r="31" spans="1:15" x14ac:dyDescent="0.2">
      <c r="N31" s="2">
        <v>8.41</v>
      </c>
      <c r="O31" s="2">
        <v>32.770000000000003</v>
      </c>
    </row>
    <row r="32" spans="1:15" x14ac:dyDescent="0.2">
      <c r="A32" s="3"/>
      <c r="B32" s="4"/>
      <c r="N32" s="2">
        <v>7.1</v>
      </c>
      <c r="O32" s="2">
        <v>32.93</v>
      </c>
    </row>
    <row r="33" spans="14:15" x14ac:dyDescent="0.2">
      <c r="N33" s="2">
        <v>1.81</v>
      </c>
      <c r="O33" s="2">
        <v>25.8</v>
      </c>
    </row>
    <row r="34" spans="14:15" x14ac:dyDescent="0.2">
      <c r="N34" s="2">
        <v>2.86</v>
      </c>
      <c r="O34" s="2">
        <v>27.46</v>
      </c>
    </row>
    <row r="38" spans="14:15" ht="25.5" x14ac:dyDescent="0.2">
      <c r="N38" s="16" t="s">
        <v>12</v>
      </c>
      <c r="O38" s="15" t="s">
        <v>8</v>
      </c>
    </row>
    <row r="39" spans="14:15" x14ac:dyDescent="0.2">
      <c r="N39" s="15">
        <v>9.39</v>
      </c>
      <c r="O39" s="15">
        <v>162.86000000000001</v>
      </c>
    </row>
    <row r="40" spans="14:15" x14ac:dyDescent="0.2">
      <c r="N40" s="15">
        <v>2.4700000000000002</v>
      </c>
      <c r="O40" s="15">
        <v>125.71</v>
      </c>
    </row>
    <row r="41" spans="14:15" x14ac:dyDescent="0.2">
      <c r="N41" s="15">
        <v>6.4</v>
      </c>
      <c r="O41" s="15">
        <v>151.43</v>
      </c>
    </row>
    <row r="42" spans="14:15" x14ac:dyDescent="0.2">
      <c r="N42" s="15">
        <v>2.71</v>
      </c>
      <c r="O42" s="15">
        <v>140</v>
      </c>
    </row>
    <row r="43" spans="14:15" x14ac:dyDescent="0.2">
      <c r="N43" s="15">
        <v>1.92</v>
      </c>
      <c r="O43" s="15">
        <v>140</v>
      </c>
    </row>
    <row r="44" spans="14:15" x14ac:dyDescent="0.2">
      <c r="N44" s="15">
        <v>2.2400000000000002</v>
      </c>
      <c r="O44" s="15">
        <v>111.43</v>
      </c>
    </row>
    <row r="45" spans="14:15" x14ac:dyDescent="0.2">
      <c r="N45" s="15">
        <v>3.78</v>
      </c>
      <c r="O45" s="15">
        <v>137.13999999999999</v>
      </c>
    </row>
    <row r="46" spans="14:15" x14ac:dyDescent="0.2">
      <c r="N46" s="15">
        <v>10.75</v>
      </c>
      <c r="O46" s="15">
        <v>131.43</v>
      </c>
    </row>
    <row r="47" spans="14:15" x14ac:dyDescent="0.2">
      <c r="N47" s="15">
        <v>2.74</v>
      </c>
      <c r="O47" s="15">
        <v>165.71</v>
      </c>
    </row>
    <row r="48" spans="14:15" x14ac:dyDescent="0.2">
      <c r="N48" s="15">
        <v>5.34</v>
      </c>
      <c r="O48" s="15">
        <v>145.71</v>
      </c>
    </row>
    <row r="49" spans="14:15" x14ac:dyDescent="0.2">
      <c r="N49" s="15">
        <v>8.41</v>
      </c>
      <c r="O49" s="15">
        <v>140</v>
      </c>
    </row>
    <row r="50" spans="14:15" x14ac:dyDescent="0.2">
      <c r="N50" s="15">
        <v>7.1</v>
      </c>
      <c r="O50" s="15">
        <v>137.13999999999999</v>
      </c>
    </row>
    <row r="51" spans="14:15" x14ac:dyDescent="0.2">
      <c r="N51" s="15">
        <v>1.81</v>
      </c>
      <c r="O51" s="15">
        <v>165.71</v>
      </c>
    </row>
    <row r="52" spans="14:15" x14ac:dyDescent="0.2">
      <c r="N52" s="15">
        <v>2.86</v>
      </c>
      <c r="O52" s="15">
        <v>94.29</v>
      </c>
    </row>
  </sheetData>
  <sheetProtection selectLockedCells="1" selectUnlockedCells="1"/>
  <mergeCells count="1">
    <mergeCell ref="A1:G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</vt:lpstr>
      <vt:lpstr>1) Estimador de Regressão</vt:lpstr>
      <vt:lpstr>Am. Aleatória SImples</vt:lpstr>
      <vt:lpstr>Est. de Regressão</vt:lpstr>
      <vt:lpstr>2) Estimadores Regressao x Raza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Honorato Lisbôa</dc:creator>
  <cp:lastModifiedBy>Carolina</cp:lastModifiedBy>
  <dcterms:created xsi:type="dcterms:W3CDTF">2021-11-29T14:09:24Z</dcterms:created>
  <dcterms:modified xsi:type="dcterms:W3CDTF">2021-12-14T18:42:00Z</dcterms:modified>
</cp:coreProperties>
</file>