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USP\Engenharia Florestal\10º Semestre\Inventário Florestal\"/>
    </mc:Choice>
  </mc:AlternateContent>
  <xr:revisionPtr revIDLastSave="0" documentId="13_ncr:1_{3F00D861-8B38-4FBE-A951-D66DF5336B7E}" xr6:coauthVersionLast="47" xr6:coauthVersionMax="47" xr10:uidLastSave="{00000000-0000-0000-0000-000000000000}"/>
  <bookViews>
    <workbookView xWindow="-120" yWindow="-120" windowWidth="20730" windowHeight="11160" tabRatio="814" activeTab="2" xr2:uid="{00000000-000D-0000-FFFF-FFFF00000000}"/>
  </bookViews>
  <sheets>
    <sheet name="Dados" sheetId="1" r:id="rId1"/>
    <sheet name="1) Estimador de Regressão" sheetId="2" r:id="rId2"/>
    <sheet name="2) Estimadores Regressao x Raz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2" l="1"/>
  <c r="C101" i="2" s="1"/>
  <c r="C100" i="2"/>
  <c r="C99" i="2"/>
  <c r="B85" i="2"/>
  <c r="B87" i="2" s="1"/>
  <c r="B53" i="2"/>
  <c r="B55" i="2" s="1"/>
  <c r="B22" i="2"/>
  <c r="L14" i="2"/>
  <c r="L18" i="2"/>
  <c r="L22" i="2"/>
  <c r="K12" i="2"/>
  <c r="K16" i="2"/>
  <c r="K20" i="2"/>
  <c r="K10" i="2"/>
  <c r="J20" i="2"/>
  <c r="J16" i="2"/>
  <c r="B13" i="2"/>
  <c r="L11" i="2" s="1"/>
  <c r="G24" i="2"/>
  <c r="B16" i="2" s="1"/>
  <c r="F24" i="2"/>
  <c r="B15" i="2" s="1"/>
  <c r="J23" i="2"/>
  <c r="I23" i="2"/>
  <c r="H23" i="2"/>
  <c r="J22" i="2"/>
  <c r="I22" i="2"/>
  <c r="H22" i="2"/>
  <c r="J21" i="2"/>
  <c r="I21" i="2"/>
  <c r="H21" i="2"/>
  <c r="I20" i="2"/>
  <c r="H20" i="2"/>
  <c r="J19" i="2"/>
  <c r="I19" i="2"/>
  <c r="H19" i="2"/>
  <c r="J18" i="2"/>
  <c r="I18" i="2"/>
  <c r="H18" i="2"/>
  <c r="J17" i="2"/>
  <c r="I17" i="2"/>
  <c r="H17" i="2"/>
  <c r="I16" i="2"/>
  <c r="H16" i="2"/>
  <c r="J15" i="2"/>
  <c r="I15" i="2"/>
  <c r="H15" i="2"/>
  <c r="J14" i="2"/>
  <c r="I14" i="2"/>
  <c r="H14" i="2"/>
  <c r="J13" i="2"/>
  <c r="I13" i="2"/>
  <c r="H13" i="2"/>
  <c r="H12" i="2"/>
  <c r="B12" i="2"/>
  <c r="K13" i="2" s="1"/>
  <c r="J11" i="2"/>
  <c r="I11" i="2"/>
  <c r="H11" i="2"/>
  <c r="B11" i="2"/>
  <c r="B35" i="2" s="1"/>
  <c r="J10" i="2"/>
  <c r="I10" i="2"/>
  <c r="H10" i="2"/>
  <c r="B86" i="2" l="1"/>
  <c r="B54" i="2"/>
  <c r="K23" i="2"/>
  <c r="K19" i="2"/>
  <c r="K15" i="2"/>
  <c r="K11" i="2"/>
  <c r="L21" i="2"/>
  <c r="L17" i="2"/>
  <c r="L13" i="2"/>
  <c r="K22" i="2"/>
  <c r="K18" i="2"/>
  <c r="K14" i="2"/>
  <c r="L10" i="2"/>
  <c r="L24" i="2" s="1"/>
  <c r="L20" i="2"/>
  <c r="L16" i="2"/>
  <c r="L12" i="2"/>
  <c r="K21" i="2"/>
  <c r="K17" i="2"/>
  <c r="L23" i="2"/>
  <c r="L19" i="2"/>
  <c r="L15" i="2"/>
  <c r="K24" i="2"/>
  <c r="B25" i="2"/>
  <c r="H24" i="2"/>
  <c r="B17" i="2" s="1"/>
  <c r="I12" i="2"/>
  <c r="I24" i="2"/>
  <c r="B18" i="2" s="1"/>
  <c r="J12" i="2"/>
  <c r="J24" i="2" s="1"/>
  <c r="B19" i="2" s="1"/>
  <c r="B27" i="2"/>
  <c r="B21" i="2" l="1"/>
  <c r="B23" i="2" s="1"/>
  <c r="B32" i="2"/>
  <c r="C35" i="2" s="1"/>
  <c r="B36" i="2" s="1"/>
  <c r="B26" i="2" l="1"/>
  <c r="B28" i="2" s="1"/>
  <c r="B29" i="2" s="1"/>
  <c r="C36" i="2"/>
  <c r="B37" i="2" s="1"/>
  <c r="C37" i="2" s="1"/>
  <c r="B75" i="2" l="1"/>
  <c r="B99" i="2" s="1"/>
  <c r="B43" i="2"/>
  <c r="B59" i="2" s="1"/>
  <c r="G88" i="2"/>
  <c r="B80" i="2" s="1"/>
  <c r="F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B79" i="2"/>
  <c r="J78" i="2"/>
  <c r="I78" i="2"/>
  <c r="H78" i="2"/>
  <c r="J77" i="2"/>
  <c r="I77" i="2"/>
  <c r="H77" i="2"/>
  <c r="B77" i="2"/>
  <c r="J76" i="2"/>
  <c r="I76" i="2"/>
  <c r="H76" i="2"/>
  <c r="B76" i="2"/>
  <c r="J75" i="2"/>
  <c r="I75" i="2"/>
  <c r="H75" i="2"/>
  <c r="J74" i="2"/>
  <c r="I74" i="2"/>
  <c r="H74" i="2"/>
  <c r="B45" i="2"/>
  <c r="B44" i="2"/>
  <c r="F56" i="2"/>
  <c r="B47" i="2" s="1"/>
  <c r="G56" i="2"/>
  <c r="B48" i="2" s="1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42" i="2"/>
  <c r="H55" i="2"/>
  <c r="H44" i="2"/>
  <c r="H45" i="2"/>
  <c r="H46" i="2"/>
  <c r="H47" i="2"/>
  <c r="H48" i="2"/>
  <c r="H49" i="2"/>
  <c r="H50" i="2"/>
  <c r="H51" i="2"/>
  <c r="H52" i="2"/>
  <c r="H53" i="2"/>
  <c r="H54" i="2"/>
  <c r="H43" i="2"/>
  <c r="H42" i="2"/>
  <c r="K43" i="2" l="1"/>
  <c r="K45" i="2"/>
  <c r="K47" i="2"/>
  <c r="K49" i="2"/>
  <c r="K51" i="2"/>
  <c r="K53" i="2"/>
  <c r="K55" i="2"/>
  <c r="K42" i="2"/>
  <c r="K44" i="2"/>
  <c r="K46" i="2"/>
  <c r="K48" i="2"/>
  <c r="K50" i="2"/>
  <c r="K52" i="2"/>
  <c r="K54" i="2"/>
  <c r="L75" i="2"/>
  <c r="L77" i="2"/>
  <c r="L79" i="2"/>
  <c r="L81" i="2"/>
  <c r="L83" i="2"/>
  <c r="L85" i="2"/>
  <c r="L87" i="2"/>
  <c r="L82" i="2"/>
  <c r="L86" i="2"/>
  <c r="L74" i="2"/>
  <c r="L76" i="2"/>
  <c r="L78" i="2"/>
  <c r="L80" i="2"/>
  <c r="L84" i="2"/>
  <c r="L43" i="2"/>
  <c r="L45" i="2"/>
  <c r="L47" i="2"/>
  <c r="L49" i="2"/>
  <c r="L51" i="2"/>
  <c r="L53" i="2"/>
  <c r="L55" i="2"/>
  <c r="L44" i="2"/>
  <c r="L48" i="2"/>
  <c r="L52" i="2"/>
  <c r="L42" i="2"/>
  <c r="L46" i="2"/>
  <c r="L50" i="2"/>
  <c r="L54" i="2"/>
  <c r="K75" i="2"/>
  <c r="K77" i="2"/>
  <c r="K79" i="2"/>
  <c r="K81" i="2"/>
  <c r="K83" i="2"/>
  <c r="K85" i="2"/>
  <c r="K87" i="2"/>
  <c r="K76" i="2"/>
  <c r="K78" i="2"/>
  <c r="K80" i="2"/>
  <c r="K82" i="2"/>
  <c r="K84" i="2"/>
  <c r="K86" i="2"/>
  <c r="K74" i="2"/>
  <c r="I88" i="2"/>
  <c r="B82" i="2" s="1"/>
  <c r="B89" i="2"/>
  <c r="H88" i="2"/>
  <c r="B81" i="2" s="1"/>
  <c r="B91" i="2"/>
  <c r="J88" i="2"/>
  <c r="B83" i="2" s="1"/>
  <c r="B67" i="2"/>
  <c r="B57" i="2"/>
  <c r="H56" i="2"/>
  <c r="B49" i="2" s="1"/>
  <c r="I56" i="2"/>
  <c r="B50" i="2" s="1"/>
  <c r="J56" i="2"/>
  <c r="B51" i="2" s="1"/>
  <c r="L88" i="2" l="1"/>
  <c r="K56" i="2"/>
  <c r="L56" i="2"/>
  <c r="K88" i="2"/>
  <c r="B90" i="2" l="1"/>
  <c r="B92" i="2" s="1"/>
  <c r="B93" i="2" s="1"/>
  <c r="B58" i="2"/>
  <c r="B60" i="2" s="1"/>
  <c r="B61" i="2" s="1"/>
  <c r="B64" i="2" l="1"/>
  <c r="B100" i="2"/>
  <c r="C67" i="2"/>
  <c r="B68" i="2" s="1"/>
  <c r="C68" i="2" s="1"/>
  <c r="B96" i="2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10" i="1"/>
</calcChain>
</file>

<file path=xl/sharedStrings.xml><?xml version="1.0" encoding="utf-8"?>
<sst xmlns="http://schemas.openxmlformats.org/spreadsheetml/2006/main" count="147" uniqueCount="60">
  <si>
    <t>Dados para os Exercícios que se seguem: Compartimentos em Floresta Nativa</t>
  </si>
  <si>
    <t>Compartimento: 350 x 700 m</t>
  </si>
  <si>
    <t>Área total do Compartimento: 24,5 ha</t>
  </si>
  <si>
    <t>Censo das árvores com DAP maior que 50cm: área basal média = 5,180449 m2/ha</t>
  </si>
  <si>
    <t>Amostra das árvores com DAP maior que 20cm</t>
  </si>
  <si>
    <t>Amostra de 14 faixas de 350 x 10 m</t>
  </si>
  <si>
    <t>Tamano da População: N = 700 / 10 = 70</t>
  </si>
  <si>
    <t>Parcela</t>
  </si>
  <si>
    <t>Número de Árvores</t>
  </si>
  <si>
    <t>Área Basal DAP &gt;= 20 cm (m2/ha)</t>
  </si>
  <si>
    <t>DAP médio (cm)</t>
  </si>
  <si>
    <t>Produção (m3/ha)</t>
  </si>
  <si>
    <t>Área Basal DAP &gt;= 50 cm (m2/ha)</t>
  </si>
  <si>
    <t>Utilizando a área basal das árvores com DAP maior que 50cm, utilize o estimador de regressão para obter a média e o intervalo de confiança de 95% para seguintes variáveis</t>
  </si>
  <si>
    <t>1.1.) Número de Árvores por Hectare</t>
  </si>
  <si>
    <t>1.2.) DAP médio (cm)</t>
  </si>
  <si>
    <t>1.3.) DAP médio quadrático (cm)</t>
  </si>
  <si>
    <t>1.4.) Produção de madeira (m3/ha)</t>
  </si>
  <si>
    <t>1.5.) Encontre o tamanho de amostra necessário para erro amostral de 5% (com 95% de probabilidade) para cada uma dessas variáveis.</t>
  </si>
  <si>
    <t>Dentre as variáveis apresentadas nos dados, existe alguma em que o estimador de RAZÃO seria mais apropriado que o estimador de Regressão?  Demonstre e explique sua resposta.</t>
  </si>
  <si>
    <t>Área da parcela</t>
  </si>
  <si>
    <t>Número de Árvores por Ha</t>
  </si>
  <si>
    <t>X</t>
  </si>
  <si>
    <t>n</t>
  </si>
  <si>
    <t>mu_y</t>
  </si>
  <si>
    <t>mu_x</t>
  </si>
  <si>
    <t>m2/ha</t>
  </si>
  <si>
    <t>cm</t>
  </si>
  <si>
    <t>Beta =</t>
  </si>
  <si>
    <t>(m2/ha)^2</t>
  </si>
  <si>
    <t>mu_L =</t>
  </si>
  <si>
    <t>%</t>
  </si>
  <si>
    <t>E_% =</t>
  </si>
  <si>
    <t>V_% =</t>
  </si>
  <si>
    <t>Iteração</t>
  </si>
  <si>
    <t>n*</t>
  </si>
  <si>
    <t>DAP Médio</t>
  </si>
  <si>
    <t>∑</t>
  </si>
  <si>
    <t>xi²</t>
  </si>
  <si>
    <t>yi²</t>
  </si>
  <si>
    <t>∑ xi</t>
  </si>
  <si>
    <t>xi</t>
  </si>
  <si>
    <t>yi</t>
  </si>
  <si>
    <t>∑ yi</t>
  </si>
  <si>
    <t>∑ xi²</t>
  </si>
  <si>
    <t>∑ yi²</t>
  </si>
  <si>
    <t>∑ xi yi</t>
  </si>
  <si>
    <t>xi yi</t>
  </si>
  <si>
    <t>S²_L =</t>
  </si>
  <si>
    <t>Erro amostral</t>
  </si>
  <si>
    <t>Erro amostral (%)</t>
  </si>
  <si>
    <t>t-stat</t>
  </si>
  <si>
    <t>Var mu_L</t>
  </si>
  <si>
    <t>Corr. Pop. Finita</t>
  </si>
  <si>
    <t>N</t>
  </si>
  <si>
    <t>Produção</t>
  </si>
  <si>
    <t>Árvores/ha</t>
  </si>
  <si>
    <t>(xi - mu_x)²</t>
  </si>
  <si>
    <t>(yi - mu_y)²</t>
  </si>
  <si>
    <t>Sim, o estimador de razão deveria ser priorizado, em detrimento do estimador de regressão, em caso de uso do número de árvores por hectare como variável auxiliar, porque entre essa variável e a variável de interesse não se observa uma relação linear. No caso das demais variáveis, não seria adequado o uso do estimador de razão, visto que a reta que representa a relação entre essas variáveis não passa pela origem.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</si>
</sst>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right"/>
    </xf>
    <xf numFmtId="2" fontId="0" fillId="0" borderId="0" xfId="0" applyNumberFormat="1" applyFill="1" applyAlignment="1">
      <alignment horizontal="right"/>
    </xf>
    <xf numFmtId="1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right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right" wrapText="1"/>
    </xf>
    <xf numFmtId="0" fontId="0" fillId="4" borderId="0" xfId="0" applyFill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2" borderId="0" xfId="0" applyFill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0" fontId="0" fillId="0" borderId="4" xfId="0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'2) Estimadores Regressao x Raza'!$C$3</c:f>
              <c:strCache>
                <c:ptCount val="1"/>
                <c:pt idx="0">
                  <c:v>Número de Árvores por Ha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Raza'!$C$4:$C$17</c:f>
              <c:numCache>
                <c:formatCode>0</c:formatCode>
                <c:ptCount val="14"/>
                <c:pt idx="0">
                  <c:v>465.3142857142858</c:v>
                </c:pt>
                <c:pt idx="1">
                  <c:v>359.17142857142858</c:v>
                </c:pt>
                <c:pt idx="2">
                  <c:v>432.6571428571429</c:v>
                </c:pt>
                <c:pt idx="3">
                  <c:v>400</c:v>
                </c:pt>
                <c:pt idx="4">
                  <c:v>400</c:v>
                </c:pt>
                <c:pt idx="5">
                  <c:v>318.37142857142862</c:v>
                </c:pt>
                <c:pt idx="6">
                  <c:v>391.82857142857142</c:v>
                </c:pt>
                <c:pt idx="7">
                  <c:v>375.51428571428573</c:v>
                </c:pt>
                <c:pt idx="8">
                  <c:v>473.45714285714291</c:v>
                </c:pt>
                <c:pt idx="9">
                  <c:v>416.31428571428575</c:v>
                </c:pt>
                <c:pt idx="10">
                  <c:v>400</c:v>
                </c:pt>
                <c:pt idx="11">
                  <c:v>391.82857142857142</c:v>
                </c:pt>
                <c:pt idx="12">
                  <c:v>473.45714285714291</c:v>
                </c:pt>
                <c:pt idx="13">
                  <c:v>269.40000000000003</c:v>
                </c:pt>
              </c:numCache>
            </c:numRef>
          </c:xVal>
          <c:yVal>
            <c:numRef>
              <c:f>'2) Estimadores Regressao x Raza'!$B$4:$B$17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BC-45C3-81A9-EF81B79F5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96840"/>
        <c:axId val="565704712"/>
      </c:scatterChart>
      <c:valAx>
        <c:axId val="5656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Árvores</a:t>
                </a:r>
                <a:r>
                  <a:rPr lang="en-US" baseline="0"/>
                  <a:t> por hectare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704712"/>
        <c:crosses val="autoZero"/>
        <c:crossBetween val="midCat"/>
      </c:valAx>
      <c:valAx>
        <c:axId val="5657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Área</a:t>
                </a:r>
                <a:r>
                  <a:rPr lang="en-US" baseline="0"/>
                  <a:t> Basal (m²/ha)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696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'2) Estimadores Regressao x Raza'!$C$3</c:f>
              <c:strCache>
                <c:ptCount val="1"/>
                <c:pt idx="0">
                  <c:v>Número de Árvores por Ha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Raza'!$C$20:$C$33</c:f>
              <c:numCache>
                <c:formatCode>General</c:formatCode>
                <c:ptCount val="14"/>
                <c:pt idx="0">
                  <c:v>31.4</c:v>
                </c:pt>
                <c:pt idx="1">
                  <c:v>27.38</c:v>
                </c:pt>
                <c:pt idx="2">
                  <c:v>29.59</c:v>
                </c:pt>
                <c:pt idx="3">
                  <c:v>26.68</c:v>
                </c:pt>
                <c:pt idx="4">
                  <c:v>25.01</c:v>
                </c:pt>
                <c:pt idx="5">
                  <c:v>25.51</c:v>
                </c:pt>
                <c:pt idx="6">
                  <c:v>28.08</c:v>
                </c:pt>
                <c:pt idx="7">
                  <c:v>34.57</c:v>
                </c:pt>
                <c:pt idx="8">
                  <c:v>27.97</c:v>
                </c:pt>
                <c:pt idx="9">
                  <c:v>29.37</c:v>
                </c:pt>
                <c:pt idx="10">
                  <c:v>32.770000000000003</c:v>
                </c:pt>
                <c:pt idx="11">
                  <c:v>32.93</c:v>
                </c:pt>
                <c:pt idx="12">
                  <c:v>25.8</c:v>
                </c:pt>
                <c:pt idx="13">
                  <c:v>27.46</c:v>
                </c:pt>
              </c:numCache>
            </c:numRef>
          </c:xVal>
          <c:yVal>
            <c:numRef>
              <c:f>'2) Estimadores Regressao x Raza'!$B$20:$B$33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90-431B-AF83-848DA63E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96840"/>
        <c:axId val="565704712"/>
      </c:scatterChart>
      <c:valAx>
        <c:axId val="5656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DAP</a:t>
                </a:r>
                <a:r>
                  <a:rPr lang="en-US" baseline="0"/>
                  <a:t> Médio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704712"/>
        <c:crosses val="autoZero"/>
        <c:crossBetween val="midCat"/>
      </c:valAx>
      <c:valAx>
        <c:axId val="5657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Área Basal (m²/ha)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696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'2) Estimadores Regressao x Raza'!$C$3</c:f>
              <c:strCache>
                <c:ptCount val="1"/>
                <c:pt idx="0">
                  <c:v>Número de Árvores por Ha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Raza'!$C$36:$C$49</c:f>
              <c:numCache>
                <c:formatCode>General</c:formatCode>
                <c:ptCount val="14"/>
                <c:pt idx="0">
                  <c:v>187.22</c:v>
                </c:pt>
                <c:pt idx="1">
                  <c:v>80</c:v>
                </c:pt>
                <c:pt idx="2">
                  <c:v>137.61000000000001</c:v>
                </c:pt>
                <c:pt idx="3">
                  <c:v>83.77</c:v>
                </c:pt>
                <c:pt idx="4">
                  <c:v>73.010000000000005</c:v>
                </c:pt>
                <c:pt idx="5">
                  <c:v>71.63</c:v>
                </c:pt>
                <c:pt idx="6">
                  <c:v>106.25</c:v>
                </c:pt>
                <c:pt idx="7">
                  <c:v>192.63</c:v>
                </c:pt>
                <c:pt idx="8">
                  <c:v>107.8</c:v>
                </c:pt>
                <c:pt idx="9">
                  <c:v>116.93</c:v>
                </c:pt>
                <c:pt idx="10">
                  <c:v>146.16</c:v>
                </c:pt>
                <c:pt idx="11">
                  <c:v>152.77000000000001</c:v>
                </c:pt>
                <c:pt idx="12">
                  <c:v>85.49</c:v>
                </c:pt>
                <c:pt idx="13">
                  <c:v>66.84</c:v>
                </c:pt>
              </c:numCache>
            </c:numRef>
          </c:xVal>
          <c:yVal>
            <c:numRef>
              <c:f>'2) Estimadores Regressao x Raza'!$B$36:$B$49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D3-4304-BF04-09E325E0E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96840"/>
        <c:axId val="565704712"/>
      </c:scatterChart>
      <c:valAx>
        <c:axId val="5656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Produção (m³/ha)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704712"/>
        <c:crosses val="autoZero"/>
        <c:crossBetween val="midCat"/>
      </c:valAx>
      <c:valAx>
        <c:axId val="5657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Área Basal </a:t>
                </a:r>
                <a:r>
                  <a:rPr lang="en-US" sz="1000" b="0" i="0" u="none" strike="noStrike" baseline="0">
                    <a:effectLst/>
                  </a:rPr>
                  <a:t>(m²/ha)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696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11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161FA8-CD75-43A2-AB32-1487EE2AD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938E5D-8A6E-485F-828C-D4B46DFE0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11</xdr:col>
      <xdr:colOff>0</xdr:colOff>
      <xdr:row>49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358107-7765-4988-8322-567F8925F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opLeftCell="A4" zoomScale="80" zoomScaleNormal="80" workbookViewId="0">
      <selection activeCell="J11" sqref="J11"/>
    </sheetView>
  </sheetViews>
  <sheetFormatPr defaultColWidth="11.5703125" defaultRowHeight="12.75" x14ac:dyDescent="0.2"/>
  <cols>
    <col min="4" max="4" width="11.5703125" style="3"/>
  </cols>
  <sheetData>
    <row r="1" spans="1:14" x14ac:dyDescent="0.2">
      <c r="A1" t="s">
        <v>0</v>
      </c>
      <c r="D1"/>
    </row>
    <row r="2" spans="1:14" x14ac:dyDescent="0.2">
      <c r="A2" t="s">
        <v>1</v>
      </c>
      <c r="D2"/>
    </row>
    <row r="3" spans="1:14" x14ac:dyDescent="0.2">
      <c r="A3" t="s">
        <v>2</v>
      </c>
      <c r="D3"/>
    </row>
    <row r="4" spans="1:14" x14ac:dyDescent="0.2">
      <c r="A4" t="s">
        <v>3</v>
      </c>
      <c r="D4"/>
    </row>
    <row r="5" spans="1:14" x14ac:dyDescent="0.2">
      <c r="A5" t="s">
        <v>4</v>
      </c>
      <c r="D5"/>
    </row>
    <row r="6" spans="1:14" x14ac:dyDescent="0.2">
      <c r="A6" t="s">
        <v>5</v>
      </c>
      <c r="D6"/>
    </row>
    <row r="7" spans="1:14" x14ac:dyDescent="0.2">
      <c r="A7" t="s">
        <v>6</v>
      </c>
      <c r="D7"/>
      <c r="K7" s="33"/>
      <c r="L7" s="33"/>
    </row>
    <row r="8" spans="1:14" x14ac:dyDescent="0.2">
      <c r="D8"/>
      <c r="I8" s="36" t="s">
        <v>22</v>
      </c>
      <c r="K8" s="33"/>
      <c r="L8" s="33"/>
    </row>
    <row r="9" spans="1:14" s="5" customFormat="1" ht="38.25" x14ac:dyDescent="0.2">
      <c r="B9" s="6" t="s">
        <v>7</v>
      </c>
      <c r="C9" s="6" t="s">
        <v>20</v>
      </c>
      <c r="D9" s="6" t="s">
        <v>8</v>
      </c>
      <c r="E9" s="6" t="s">
        <v>21</v>
      </c>
      <c r="F9" s="6" t="s">
        <v>9</v>
      </c>
      <c r="G9" s="6" t="s">
        <v>10</v>
      </c>
      <c r="H9" s="6" t="s">
        <v>11</v>
      </c>
      <c r="I9" s="6" t="s">
        <v>12</v>
      </c>
      <c r="K9" s="34"/>
      <c r="L9" s="34"/>
    </row>
    <row r="10" spans="1:14" x14ac:dyDescent="0.2">
      <c r="B10" s="1">
        <v>1</v>
      </c>
      <c r="C10" s="1">
        <f>350*10/10000</f>
        <v>0.35</v>
      </c>
      <c r="D10" s="1">
        <v>162.86000000000001</v>
      </c>
      <c r="E10" s="7">
        <f>D10/C10</f>
        <v>465.3142857142858</v>
      </c>
      <c r="F10" s="1">
        <v>17.89</v>
      </c>
      <c r="G10" s="1">
        <v>31.4</v>
      </c>
      <c r="H10" s="1">
        <v>187.22</v>
      </c>
      <c r="I10" s="1">
        <v>9.39</v>
      </c>
      <c r="K10" s="35"/>
      <c r="L10" s="35"/>
      <c r="M10" s="13"/>
      <c r="N10" s="13"/>
    </row>
    <row r="11" spans="1:14" x14ac:dyDescent="0.2">
      <c r="B11" s="1">
        <v>2</v>
      </c>
      <c r="C11" s="1">
        <f t="shared" ref="C11:C23" si="0">350*10/10000</f>
        <v>0.35</v>
      </c>
      <c r="D11" s="1">
        <v>125.71</v>
      </c>
      <c r="E11" s="7">
        <f t="shared" ref="E11:E23" si="1">D11/C11</f>
        <v>359.17142857142858</v>
      </c>
      <c r="F11" s="1">
        <v>9.08</v>
      </c>
      <c r="G11" s="1">
        <v>27.38</v>
      </c>
      <c r="H11" s="1">
        <v>80</v>
      </c>
      <c r="I11" s="1">
        <v>2.4700000000000002</v>
      </c>
      <c r="K11" s="35"/>
      <c r="L11" s="35"/>
      <c r="M11" s="13"/>
      <c r="N11" s="13"/>
    </row>
    <row r="12" spans="1:14" x14ac:dyDescent="0.2">
      <c r="B12" s="1">
        <v>3</v>
      </c>
      <c r="C12" s="1">
        <f t="shared" si="0"/>
        <v>0.35</v>
      </c>
      <c r="D12" s="1">
        <v>151.43</v>
      </c>
      <c r="E12" s="7">
        <f t="shared" si="1"/>
        <v>432.6571428571429</v>
      </c>
      <c r="F12" s="1">
        <v>13.92</v>
      </c>
      <c r="G12" s="1">
        <v>29.59</v>
      </c>
      <c r="H12" s="1">
        <v>137.61000000000001</v>
      </c>
      <c r="I12" s="1">
        <v>6.4</v>
      </c>
      <c r="K12" s="35"/>
      <c r="L12" s="35"/>
      <c r="M12" s="13"/>
      <c r="N12" s="13"/>
    </row>
    <row r="13" spans="1:14" x14ac:dyDescent="0.2">
      <c r="B13" s="1">
        <v>4</v>
      </c>
      <c r="C13" s="1">
        <f t="shared" si="0"/>
        <v>0.35</v>
      </c>
      <c r="D13" s="1">
        <v>140</v>
      </c>
      <c r="E13" s="7">
        <f t="shared" si="1"/>
        <v>400</v>
      </c>
      <c r="F13" s="1">
        <v>9.58</v>
      </c>
      <c r="G13" s="1">
        <v>26.68</v>
      </c>
      <c r="H13" s="1">
        <v>83.77</v>
      </c>
      <c r="I13" s="1">
        <v>2.71</v>
      </c>
      <c r="K13" s="8"/>
      <c r="L13" s="8"/>
      <c r="M13" s="13"/>
      <c r="N13" s="13"/>
    </row>
    <row r="14" spans="1:14" x14ac:dyDescent="0.2">
      <c r="B14" s="1">
        <v>5</v>
      </c>
      <c r="C14" s="1">
        <f t="shared" si="0"/>
        <v>0.35</v>
      </c>
      <c r="D14" s="1">
        <v>140</v>
      </c>
      <c r="E14" s="7">
        <f t="shared" si="1"/>
        <v>400</v>
      </c>
      <c r="F14" s="1">
        <v>8.51</v>
      </c>
      <c r="G14" s="1">
        <v>25.01</v>
      </c>
      <c r="H14" s="1">
        <v>73.010000000000005</v>
      </c>
      <c r="I14" s="1">
        <v>1.92</v>
      </c>
      <c r="K14" s="8"/>
      <c r="L14" s="8"/>
      <c r="M14" s="13"/>
      <c r="N14" s="13"/>
    </row>
    <row r="15" spans="1:14" x14ac:dyDescent="0.2">
      <c r="B15" s="1">
        <v>6</v>
      </c>
      <c r="C15" s="1">
        <f t="shared" si="0"/>
        <v>0.35</v>
      </c>
      <c r="D15" s="1">
        <v>111.43</v>
      </c>
      <c r="E15" s="7">
        <f t="shared" si="1"/>
        <v>318.37142857142862</v>
      </c>
      <c r="F15" s="1">
        <v>7.61</v>
      </c>
      <c r="G15" s="1">
        <v>25.51</v>
      </c>
      <c r="H15" s="1">
        <v>71.63</v>
      </c>
      <c r="I15" s="1">
        <v>2.2400000000000002</v>
      </c>
      <c r="K15" s="8"/>
      <c r="L15" s="8"/>
      <c r="M15" s="13"/>
      <c r="N15" s="13"/>
    </row>
    <row r="16" spans="1:14" x14ac:dyDescent="0.2">
      <c r="B16" s="1">
        <v>7</v>
      </c>
      <c r="C16" s="1">
        <f t="shared" si="0"/>
        <v>0.35</v>
      </c>
      <c r="D16" s="1">
        <v>137.13999999999999</v>
      </c>
      <c r="E16" s="7">
        <f t="shared" si="1"/>
        <v>391.82857142857142</v>
      </c>
      <c r="F16" s="1">
        <v>11.25</v>
      </c>
      <c r="G16" s="1">
        <v>28.08</v>
      </c>
      <c r="H16" s="1">
        <v>106.25</v>
      </c>
      <c r="I16" s="1">
        <v>3.78</v>
      </c>
      <c r="K16" s="8"/>
      <c r="L16" s="8"/>
      <c r="M16" s="13"/>
      <c r="N16" s="13"/>
    </row>
    <row r="17" spans="2:14" x14ac:dyDescent="0.2">
      <c r="B17" s="1">
        <v>8</v>
      </c>
      <c r="C17" s="1">
        <f t="shared" si="0"/>
        <v>0.35</v>
      </c>
      <c r="D17" s="1">
        <v>131.43</v>
      </c>
      <c r="E17" s="7">
        <f t="shared" si="1"/>
        <v>375.51428571428573</v>
      </c>
      <c r="F17" s="1">
        <v>17.63</v>
      </c>
      <c r="G17" s="1">
        <v>34.57</v>
      </c>
      <c r="H17" s="1">
        <v>192.63</v>
      </c>
      <c r="I17" s="1">
        <v>10.75</v>
      </c>
      <c r="K17" s="8"/>
      <c r="L17" s="8"/>
      <c r="M17" s="13"/>
      <c r="N17" s="13"/>
    </row>
    <row r="18" spans="2:14" x14ac:dyDescent="0.2">
      <c r="B18" s="1">
        <v>9</v>
      </c>
      <c r="C18" s="1">
        <f t="shared" si="0"/>
        <v>0.35</v>
      </c>
      <c r="D18" s="1">
        <v>165.71</v>
      </c>
      <c r="E18" s="7">
        <f t="shared" si="1"/>
        <v>473.45714285714291</v>
      </c>
      <c r="F18" s="1">
        <v>12.26</v>
      </c>
      <c r="G18" s="1">
        <v>27.97</v>
      </c>
      <c r="H18" s="1">
        <v>107.8</v>
      </c>
      <c r="I18" s="1">
        <v>2.74</v>
      </c>
      <c r="K18" s="8"/>
      <c r="L18" s="8"/>
      <c r="M18" s="13"/>
      <c r="N18" s="13"/>
    </row>
    <row r="19" spans="2:14" x14ac:dyDescent="0.2">
      <c r="B19" s="1">
        <v>10</v>
      </c>
      <c r="C19" s="1">
        <f t="shared" si="0"/>
        <v>0.35</v>
      </c>
      <c r="D19" s="1">
        <v>145.71</v>
      </c>
      <c r="E19" s="7">
        <f t="shared" si="1"/>
        <v>416.31428571428575</v>
      </c>
      <c r="F19" s="1">
        <v>12.52</v>
      </c>
      <c r="G19" s="1">
        <v>29.37</v>
      </c>
      <c r="H19" s="1">
        <v>116.93</v>
      </c>
      <c r="I19" s="1">
        <v>5.34</v>
      </c>
      <c r="K19" s="8"/>
      <c r="L19" s="8"/>
      <c r="M19" s="13"/>
      <c r="N19" s="13"/>
    </row>
    <row r="20" spans="2:14" x14ac:dyDescent="0.2">
      <c r="B20" s="1">
        <v>11</v>
      </c>
      <c r="C20" s="1">
        <f t="shared" si="0"/>
        <v>0.35</v>
      </c>
      <c r="D20" s="1">
        <v>140</v>
      </c>
      <c r="E20" s="7">
        <f t="shared" si="1"/>
        <v>400</v>
      </c>
      <c r="F20" s="1">
        <v>14.97</v>
      </c>
      <c r="G20" s="1">
        <v>32.770000000000003</v>
      </c>
      <c r="H20" s="1">
        <v>146.16</v>
      </c>
      <c r="I20" s="1">
        <v>8.41</v>
      </c>
      <c r="K20" s="8"/>
      <c r="L20" s="8"/>
      <c r="M20" s="13"/>
      <c r="N20" s="13"/>
    </row>
    <row r="21" spans="2:14" x14ac:dyDescent="0.2">
      <c r="B21" s="1">
        <v>12</v>
      </c>
      <c r="C21" s="1">
        <f t="shared" si="0"/>
        <v>0.35</v>
      </c>
      <c r="D21" s="1">
        <v>137.13999999999999</v>
      </c>
      <c r="E21" s="7">
        <f t="shared" si="1"/>
        <v>391.82857142857142</v>
      </c>
      <c r="F21" s="1">
        <v>15.17</v>
      </c>
      <c r="G21" s="1">
        <v>32.93</v>
      </c>
      <c r="H21" s="1">
        <v>152.77000000000001</v>
      </c>
      <c r="I21" s="1">
        <v>7.1</v>
      </c>
      <c r="K21" s="8"/>
      <c r="L21" s="8"/>
      <c r="M21" s="13"/>
      <c r="N21" s="13"/>
    </row>
    <row r="22" spans="2:14" x14ac:dyDescent="0.2">
      <c r="B22" s="1">
        <v>13</v>
      </c>
      <c r="C22" s="1">
        <f t="shared" si="0"/>
        <v>0.35</v>
      </c>
      <c r="D22" s="1">
        <v>165.71</v>
      </c>
      <c r="E22" s="7">
        <f t="shared" si="1"/>
        <v>473.45714285714291</v>
      </c>
      <c r="F22" s="1">
        <v>10.25</v>
      </c>
      <c r="G22" s="1">
        <v>25.8</v>
      </c>
      <c r="H22" s="1">
        <v>85.49</v>
      </c>
      <c r="I22" s="1">
        <v>1.81</v>
      </c>
      <c r="K22" s="8"/>
      <c r="L22" s="8"/>
      <c r="M22" s="13"/>
      <c r="N22" s="13"/>
    </row>
    <row r="23" spans="2:14" x14ac:dyDescent="0.2">
      <c r="B23" s="1">
        <v>14</v>
      </c>
      <c r="C23" s="1">
        <f t="shared" si="0"/>
        <v>0.35</v>
      </c>
      <c r="D23" s="1">
        <v>94.29</v>
      </c>
      <c r="E23" s="7">
        <f t="shared" si="1"/>
        <v>269.40000000000003</v>
      </c>
      <c r="F23" s="1">
        <v>7.27</v>
      </c>
      <c r="G23" s="1">
        <v>27.46</v>
      </c>
      <c r="H23" s="1">
        <v>66.84</v>
      </c>
      <c r="I23" s="1">
        <v>2.86</v>
      </c>
      <c r="K23" s="8"/>
      <c r="L23" s="8"/>
      <c r="M23" s="13"/>
      <c r="N23" s="13"/>
    </row>
    <row r="24" spans="2:14" x14ac:dyDescent="0.2">
      <c r="D24"/>
      <c r="K24" s="8"/>
      <c r="L24" s="8"/>
      <c r="M24" s="8"/>
      <c r="N24" s="8"/>
    </row>
    <row r="25" spans="2:14" x14ac:dyDescent="0.2">
      <c r="E25" s="9"/>
    </row>
    <row r="26" spans="2:14" x14ac:dyDescent="0.2">
      <c r="E26" s="1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3"/>
  <sheetViews>
    <sheetView zoomScale="80" zoomScaleNormal="80" workbookViewId="0">
      <selection activeCell="D37" sqref="D37"/>
    </sheetView>
  </sheetViews>
  <sheetFormatPr defaultColWidth="11.5703125" defaultRowHeight="12.75" x14ac:dyDescent="0.2"/>
  <cols>
    <col min="1" max="1" width="16.5703125" customWidth="1"/>
  </cols>
  <sheetData>
    <row r="1" spans="1:12" ht="26.45" customHeight="1" x14ac:dyDescent="0.2">
      <c r="A1" s="52" t="s">
        <v>13</v>
      </c>
      <c r="B1" s="52"/>
      <c r="C1" s="52"/>
      <c r="D1" s="52"/>
      <c r="E1" s="52"/>
      <c r="F1" s="52"/>
      <c r="G1" s="52"/>
      <c r="H1" s="52"/>
      <c r="I1" s="52"/>
    </row>
    <row r="2" spans="1:12" x14ac:dyDescent="0.2">
      <c r="A2" t="s">
        <v>14</v>
      </c>
    </row>
    <row r="3" spans="1:12" x14ac:dyDescent="0.2">
      <c r="A3" t="s">
        <v>15</v>
      </c>
    </row>
    <row r="4" spans="1:12" x14ac:dyDescent="0.2">
      <c r="A4" t="s">
        <v>16</v>
      </c>
    </row>
    <row r="5" spans="1:12" x14ac:dyDescent="0.2">
      <c r="A5" t="s">
        <v>17</v>
      </c>
    </row>
    <row r="7" spans="1:12" ht="26.45" customHeight="1" x14ac:dyDescent="0.2">
      <c r="A7" s="52" t="s">
        <v>18</v>
      </c>
      <c r="B7" s="52"/>
      <c r="C7" s="52"/>
      <c r="D7" s="52"/>
      <c r="E7" s="52"/>
      <c r="F7" s="52"/>
      <c r="G7" s="52"/>
      <c r="H7" s="52"/>
      <c r="I7" s="52"/>
    </row>
    <row r="9" spans="1:12" x14ac:dyDescent="0.2">
      <c r="B9" s="32" t="s">
        <v>56</v>
      </c>
      <c r="E9" s="18" t="s">
        <v>7</v>
      </c>
      <c r="F9" s="18" t="s">
        <v>41</v>
      </c>
      <c r="G9" s="18" t="s">
        <v>42</v>
      </c>
      <c r="H9" s="18" t="s">
        <v>38</v>
      </c>
      <c r="I9" s="18" t="s">
        <v>39</v>
      </c>
      <c r="J9" s="18" t="s">
        <v>47</v>
      </c>
      <c r="K9" s="18" t="s">
        <v>57</v>
      </c>
      <c r="L9" s="18" t="s">
        <v>58</v>
      </c>
    </row>
    <row r="10" spans="1:12" x14ac:dyDescent="0.2">
      <c r="A10" s="3" t="s">
        <v>54</v>
      </c>
      <c r="B10" s="4">
        <v>70</v>
      </c>
      <c r="E10" s="19">
        <v>1</v>
      </c>
      <c r="F10" s="19">
        <v>9.39</v>
      </c>
      <c r="G10" s="38">
        <v>465.3142857142858</v>
      </c>
      <c r="H10" s="10">
        <f>F10^2</f>
        <v>88.172100000000015</v>
      </c>
      <c r="I10" s="10">
        <f>G10^2</f>
        <v>216517.38448979601</v>
      </c>
      <c r="J10" s="10">
        <f>F10*G10</f>
        <v>4369.3011428571435</v>
      </c>
      <c r="K10" s="35">
        <f>(F10-$B$12)^2</f>
        <v>20.598630612244904</v>
      </c>
      <c r="L10" s="35">
        <f>(G10-$B$13)^2</f>
        <v>4576.3844398167657</v>
      </c>
    </row>
    <row r="11" spans="1:12" x14ac:dyDescent="0.2">
      <c r="A11" s="3" t="s">
        <v>23</v>
      </c>
      <c r="B11" s="17">
        <f>COUNT(F10:F23)</f>
        <v>14</v>
      </c>
      <c r="E11" s="19">
        <v>2</v>
      </c>
      <c r="F11" s="19">
        <v>2.4700000000000002</v>
      </c>
      <c r="G11" s="38">
        <v>359.17142857142858</v>
      </c>
      <c r="H11" s="10">
        <f>F11^2</f>
        <v>6.1009000000000011</v>
      </c>
      <c r="I11" s="10">
        <f t="shared" ref="I11:I23" si="0">G11^2</f>
        <v>129004.11510204081</v>
      </c>
      <c r="J11" s="10">
        <f t="shared" ref="J11:J23" si="1">F11*G11</f>
        <v>887.15342857142866</v>
      </c>
      <c r="K11" s="35">
        <f t="shared" ref="K11:K23" si="2">(F11-$B$12)^2</f>
        <v>5.6712020408163255</v>
      </c>
      <c r="L11" s="35">
        <f t="shared" ref="L11:L23" si="3">(G11-$B$13)^2</f>
        <v>1481.7786089129461</v>
      </c>
    </row>
    <row r="12" spans="1:12" x14ac:dyDescent="0.2">
      <c r="A12" s="3" t="s">
        <v>25</v>
      </c>
      <c r="B12" s="8">
        <f>AVERAGE(F10:F23)</f>
        <v>4.8514285714285714</v>
      </c>
      <c r="C12" t="s">
        <v>26</v>
      </c>
      <c r="E12" s="19">
        <v>3</v>
      </c>
      <c r="F12" s="19">
        <v>6.4</v>
      </c>
      <c r="G12" s="38">
        <v>432.6571428571429</v>
      </c>
      <c r="H12" s="10">
        <f t="shared" ref="H12:H22" si="4">F12^2</f>
        <v>40.960000000000008</v>
      </c>
      <c r="I12" s="10">
        <f t="shared" si="0"/>
        <v>187192.20326530616</v>
      </c>
      <c r="J12" s="10">
        <f t="shared" si="1"/>
        <v>2769.0057142857149</v>
      </c>
      <c r="K12" s="35">
        <f t="shared" si="2"/>
        <v>2.3980734693877563</v>
      </c>
      <c r="L12" s="35">
        <f t="shared" si="3"/>
        <v>1224.4286380674807</v>
      </c>
    </row>
    <row r="13" spans="1:12" x14ac:dyDescent="0.2">
      <c r="A13" s="3" t="s">
        <v>24</v>
      </c>
      <c r="B13" s="8">
        <f>AVERAGE(G10:G23)</f>
        <v>397.6653061224489</v>
      </c>
      <c r="C13" t="s">
        <v>27</v>
      </c>
      <c r="E13" s="19">
        <v>4</v>
      </c>
      <c r="F13" s="19">
        <v>2.71</v>
      </c>
      <c r="G13" s="38">
        <v>400</v>
      </c>
      <c r="H13" s="10">
        <f t="shared" si="4"/>
        <v>7.3441000000000001</v>
      </c>
      <c r="I13" s="10">
        <f t="shared" si="0"/>
        <v>160000</v>
      </c>
      <c r="J13" s="10">
        <f t="shared" si="1"/>
        <v>1084</v>
      </c>
      <c r="K13" s="35">
        <f t="shared" si="2"/>
        <v>4.585716326530612</v>
      </c>
      <c r="L13" s="35">
        <f t="shared" si="3"/>
        <v>5.450795501874607</v>
      </c>
    </row>
    <row r="14" spans="1:12" x14ac:dyDescent="0.2">
      <c r="A14" s="3"/>
      <c r="B14" s="4"/>
      <c r="E14" s="19">
        <v>5</v>
      </c>
      <c r="F14" s="19">
        <v>1.92</v>
      </c>
      <c r="G14" s="38">
        <v>400</v>
      </c>
      <c r="H14" s="10">
        <f t="shared" si="4"/>
        <v>3.6863999999999999</v>
      </c>
      <c r="I14" s="10">
        <f t="shared" si="0"/>
        <v>160000</v>
      </c>
      <c r="J14" s="10">
        <f t="shared" si="1"/>
        <v>768</v>
      </c>
      <c r="K14" s="35">
        <f t="shared" si="2"/>
        <v>8.5932734693877553</v>
      </c>
      <c r="L14" s="35">
        <f t="shared" si="3"/>
        <v>5.450795501874607</v>
      </c>
    </row>
    <row r="15" spans="1:12" x14ac:dyDescent="0.2">
      <c r="A15" s="3" t="s">
        <v>40</v>
      </c>
      <c r="B15" s="16">
        <f>F24</f>
        <v>67.92</v>
      </c>
      <c r="E15" s="19">
        <v>6</v>
      </c>
      <c r="F15" s="19">
        <v>2.2400000000000002</v>
      </c>
      <c r="G15" s="38">
        <v>318.37142857142862</v>
      </c>
      <c r="H15" s="10">
        <f t="shared" si="4"/>
        <v>5.0176000000000007</v>
      </c>
      <c r="I15" s="10">
        <f t="shared" si="0"/>
        <v>101360.36653061227</v>
      </c>
      <c r="J15" s="10">
        <f t="shared" si="1"/>
        <v>713.15200000000016</v>
      </c>
      <c r="K15" s="35">
        <f t="shared" si="2"/>
        <v>6.8195591836734684</v>
      </c>
      <c r="L15" s="35">
        <f t="shared" si="3"/>
        <v>6287.5190170761971</v>
      </c>
    </row>
    <row r="16" spans="1:12" x14ac:dyDescent="0.2">
      <c r="A16" s="3" t="s">
        <v>43</v>
      </c>
      <c r="B16" s="16">
        <f>G24</f>
        <v>5567.3142857142848</v>
      </c>
      <c r="E16" s="19">
        <v>7</v>
      </c>
      <c r="F16" s="19">
        <v>3.78</v>
      </c>
      <c r="G16" s="38">
        <v>391.82857142857142</v>
      </c>
      <c r="H16" s="10">
        <f t="shared" si="4"/>
        <v>14.288399999999999</v>
      </c>
      <c r="I16" s="10">
        <f t="shared" si="0"/>
        <v>153529.62938775509</v>
      </c>
      <c r="J16" s="10">
        <f t="shared" si="1"/>
        <v>1481.1119999999999</v>
      </c>
      <c r="K16" s="35">
        <f t="shared" si="2"/>
        <v>1.1479591836734697</v>
      </c>
      <c r="L16" s="35">
        <f t="shared" si="3"/>
        <v>34.067471886712973</v>
      </c>
    </row>
    <row r="17" spans="1:12" x14ac:dyDescent="0.2">
      <c r="A17" s="3" t="s">
        <v>44</v>
      </c>
      <c r="B17" s="16">
        <f>H24</f>
        <v>449.74899999999991</v>
      </c>
      <c r="E17" s="19">
        <v>8</v>
      </c>
      <c r="F17" s="19">
        <v>10.75</v>
      </c>
      <c r="G17" s="38">
        <v>375.51428571428573</v>
      </c>
      <c r="H17" s="10">
        <f t="shared" si="4"/>
        <v>115.5625</v>
      </c>
      <c r="I17" s="10">
        <f t="shared" si="0"/>
        <v>141010.97877551022</v>
      </c>
      <c r="J17" s="10">
        <f t="shared" si="1"/>
        <v>4036.7785714285715</v>
      </c>
      <c r="K17" s="35">
        <f t="shared" si="2"/>
        <v>34.793144897959181</v>
      </c>
      <c r="L17" s="35">
        <f t="shared" si="3"/>
        <v>490.66770512286092</v>
      </c>
    </row>
    <row r="18" spans="1:12" x14ac:dyDescent="0.2">
      <c r="A18" s="3" t="s">
        <v>45</v>
      </c>
      <c r="B18" s="16">
        <f>I24</f>
        <v>2256361.5836734693</v>
      </c>
      <c r="E18" s="19">
        <v>9</v>
      </c>
      <c r="F18" s="19">
        <v>2.74</v>
      </c>
      <c r="G18" s="38">
        <v>473.45714285714291</v>
      </c>
      <c r="H18" s="10">
        <f t="shared" si="4"/>
        <v>7.5076000000000009</v>
      </c>
      <c r="I18" s="10">
        <f t="shared" si="0"/>
        <v>224161.66612244904</v>
      </c>
      <c r="J18" s="10">
        <f t="shared" si="1"/>
        <v>1297.2725714285716</v>
      </c>
      <c r="K18" s="35">
        <f t="shared" si="2"/>
        <v>4.4581306122448972</v>
      </c>
      <c r="L18" s="35">
        <f t="shared" si="3"/>
        <v>5744.4025156185135</v>
      </c>
    </row>
    <row r="19" spans="1:12" x14ac:dyDescent="0.2">
      <c r="A19" s="3" t="s">
        <v>46</v>
      </c>
      <c r="B19" s="16">
        <f>J24</f>
        <v>27402.317999999999</v>
      </c>
      <c r="E19" s="19">
        <v>10</v>
      </c>
      <c r="F19" s="19">
        <v>5.34</v>
      </c>
      <c r="G19" s="38">
        <v>416.31428571428575</v>
      </c>
      <c r="H19" s="10">
        <f t="shared" si="4"/>
        <v>28.515599999999999</v>
      </c>
      <c r="I19" s="10">
        <f t="shared" si="0"/>
        <v>173317.58448979593</v>
      </c>
      <c r="J19" s="10">
        <f t="shared" si="1"/>
        <v>2223.1182857142858</v>
      </c>
      <c r="K19" s="35">
        <f t="shared" si="2"/>
        <v>0.2387020408163264</v>
      </c>
      <c r="L19" s="35">
        <f t="shared" si="3"/>
        <v>347.78443981674729</v>
      </c>
    </row>
    <row r="20" spans="1:12" x14ac:dyDescent="0.2">
      <c r="A20" s="3"/>
      <c r="B20" s="4"/>
      <c r="E20" s="19">
        <v>11</v>
      </c>
      <c r="F20" s="19">
        <v>8.41</v>
      </c>
      <c r="G20" s="38">
        <v>400</v>
      </c>
      <c r="H20" s="10">
        <f t="shared" si="4"/>
        <v>70.728099999999998</v>
      </c>
      <c r="I20" s="10">
        <f t="shared" si="0"/>
        <v>160000</v>
      </c>
      <c r="J20" s="10">
        <f t="shared" si="1"/>
        <v>3364</v>
      </c>
      <c r="K20" s="35">
        <f t="shared" si="2"/>
        <v>12.663430612244898</v>
      </c>
      <c r="L20" s="35">
        <f t="shared" si="3"/>
        <v>5.450795501874607</v>
      </c>
    </row>
    <row r="21" spans="1:12" x14ac:dyDescent="0.2">
      <c r="A21" s="3" t="s">
        <v>28</v>
      </c>
      <c r="B21" s="8">
        <f>(B19-(B15*B16)/B11)/(B17-(B15^2/B11))</f>
        <v>3.2675524078668388</v>
      </c>
      <c r="E21" s="19">
        <v>12</v>
      </c>
      <c r="F21" s="19">
        <v>7.1</v>
      </c>
      <c r="G21" s="38">
        <v>391.82857142857142</v>
      </c>
      <c r="H21" s="10">
        <f t="shared" si="4"/>
        <v>50.41</v>
      </c>
      <c r="I21" s="10">
        <f t="shared" si="0"/>
        <v>153529.62938775509</v>
      </c>
      <c r="J21" s="10">
        <f t="shared" si="1"/>
        <v>2781.982857142857</v>
      </c>
      <c r="K21" s="35">
        <f t="shared" si="2"/>
        <v>5.0560734693877531</v>
      </c>
      <c r="L21" s="35">
        <f t="shared" si="3"/>
        <v>34.067471886712973</v>
      </c>
    </row>
    <row r="22" spans="1:12" x14ac:dyDescent="0.2">
      <c r="A22" s="3" t="s">
        <v>48</v>
      </c>
      <c r="B22" s="8">
        <f>(L24-B21^2*K24)/12</f>
        <v>3429.1711638160764</v>
      </c>
      <c r="C22" t="s">
        <v>29</v>
      </c>
      <c r="D22" s="13"/>
      <c r="E22" s="19">
        <v>13</v>
      </c>
      <c r="F22" s="19">
        <v>1.81</v>
      </c>
      <c r="G22" s="38">
        <v>473.45714285714291</v>
      </c>
      <c r="H22" s="10">
        <f t="shared" si="4"/>
        <v>3.2761</v>
      </c>
      <c r="I22" s="10">
        <f t="shared" si="0"/>
        <v>224161.66612244904</v>
      </c>
      <c r="J22" s="10">
        <f t="shared" si="1"/>
        <v>856.95742857142875</v>
      </c>
      <c r="K22" s="35">
        <f t="shared" si="2"/>
        <v>9.2502877551020397</v>
      </c>
      <c r="L22" s="35">
        <f t="shared" si="3"/>
        <v>5744.4025156185135</v>
      </c>
    </row>
    <row r="23" spans="1:12" x14ac:dyDescent="0.2">
      <c r="A23" s="3" t="s">
        <v>30</v>
      </c>
      <c r="B23" s="8">
        <f>((B16/B11)+B21*(5.180449-(B15/B11)))</f>
        <v>398.74039761606485</v>
      </c>
      <c r="C23" t="s">
        <v>26</v>
      </c>
      <c r="E23" s="19">
        <v>14</v>
      </c>
      <c r="F23" s="19">
        <v>2.86</v>
      </c>
      <c r="G23" s="39">
        <v>269.40000000000003</v>
      </c>
      <c r="H23" s="10">
        <f>F23^2</f>
        <v>8.1795999999999989</v>
      </c>
      <c r="I23" s="10">
        <f t="shared" si="0"/>
        <v>72576.360000000015</v>
      </c>
      <c r="J23" s="10">
        <f t="shared" si="1"/>
        <v>770.48400000000004</v>
      </c>
      <c r="K23" s="35">
        <f t="shared" si="2"/>
        <v>3.9657877551020415</v>
      </c>
      <c r="L23" s="35">
        <f t="shared" si="3"/>
        <v>16451.988754685517</v>
      </c>
    </row>
    <row r="24" spans="1:12" x14ac:dyDescent="0.2">
      <c r="A24" s="3"/>
      <c r="B24" s="15"/>
      <c r="E24" s="20" t="s">
        <v>37</v>
      </c>
      <c r="F24" s="21">
        <f t="shared" ref="F24" si="5">SUM(F10:F23)</f>
        <v>67.92</v>
      </c>
      <c r="G24" s="10">
        <f t="shared" ref="G24" si="6">SUM(G10:G23)</f>
        <v>5567.3142857142848</v>
      </c>
      <c r="H24" s="21">
        <f>SUM(H10:H23)</f>
        <v>449.74899999999991</v>
      </c>
      <c r="I24" s="21">
        <f t="shared" ref="I24" si="7">SUM(I10:I23)</f>
        <v>2256361.5836734693</v>
      </c>
      <c r="J24" s="21">
        <f t="shared" ref="J24" si="8">SUM(J10:J23)</f>
        <v>27402.317999999999</v>
      </c>
      <c r="K24" s="21">
        <f t="shared" ref="K24" si="9">SUM(K10:K23)</f>
        <v>120.23997142857142</v>
      </c>
      <c r="L24" s="21">
        <f t="shared" ref="L24" si="10">SUM(L10:L23)</f>
        <v>42433.843965014588</v>
      </c>
    </row>
    <row r="25" spans="1:12" x14ac:dyDescent="0.2">
      <c r="A25" s="3" t="s">
        <v>53</v>
      </c>
      <c r="B25" s="8">
        <f>1-B11/70</f>
        <v>0.8</v>
      </c>
    </row>
    <row r="26" spans="1:12" x14ac:dyDescent="0.2">
      <c r="A26" s="3" t="s">
        <v>52</v>
      </c>
      <c r="B26" s="8">
        <f>(B22/B11)*B25</f>
        <v>195.95263793234722</v>
      </c>
      <c r="C26" t="s">
        <v>29</v>
      </c>
    </row>
    <row r="27" spans="1:12" x14ac:dyDescent="0.2">
      <c r="A27" s="3" t="s">
        <v>51</v>
      </c>
      <c r="B27" s="8">
        <f>_xlfn.T.INV(0.975,B11-1)</f>
        <v>2.1603686564627917</v>
      </c>
      <c r="E27" s="22"/>
      <c r="F27" s="23"/>
      <c r="G27" s="23"/>
      <c r="H27" s="23"/>
      <c r="I27" s="22"/>
      <c r="J27" s="24"/>
    </row>
    <row r="28" spans="1:12" x14ac:dyDescent="0.2">
      <c r="A28" s="3" t="s">
        <v>49</v>
      </c>
      <c r="B28" s="8">
        <f>B27*SQRT(B26)</f>
        <v>30.241506700892877</v>
      </c>
      <c r="C28" t="s">
        <v>26</v>
      </c>
      <c r="E28" s="22"/>
      <c r="F28" s="24"/>
      <c r="G28" s="24"/>
      <c r="H28" s="24"/>
      <c r="I28" s="26"/>
      <c r="J28" s="23"/>
    </row>
    <row r="29" spans="1:12" x14ac:dyDescent="0.2">
      <c r="A29" s="3" t="s">
        <v>50</v>
      </c>
      <c r="B29" s="8">
        <f>(B28/B13)*100</f>
        <v>7.6047636631345785</v>
      </c>
      <c r="C29" t="s">
        <v>31</v>
      </c>
      <c r="E29" s="22"/>
      <c r="F29" s="23"/>
      <c r="G29" s="23"/>
      <c r="H29" s="23"/>
      <c r="I29" s="27"/>
      <c r="J29" s="24"/>
    </row>
    <row r="30" spans="1:12" x14ac:dyDescent="0.2">
      <c r="B30" s="4"/>
      <c r="E30" s="25"/>
      <c r="F30" s="25"/>
      <c r="G30" s="25"/>
      <c r="H30" s="28"/>
      <c r="I30" s="29"/>
      <c r="J30" s="24"/>
    </row>
    <row r="31" spans="1:12" x14ac:dyDescent="0.2">
      <c r="A31" s="3" t="s">
        <v>32</v>
      </c>
      <c r="B31" s="8">
        <v>5</v>
      </c>
      <c r="E31" s="25"/>
      <c r="F31" s="23"/>
      <c r="G31" s="23"/>
      <c r="H31" s="24"/>
      <c r="I31" s="22"/>
      <c r="J31" s="23"/>
    </row>
    <row r="32" spans="1:12" x14ac:dyDescent="0.2">
      <c r="A32" s="3" t="s">
        <v>33</v>
      </c>
      <c r="B32" s="8">
        <f>((SQRT(B22))/B23)*100</f>
        <v>14.68602773074573</v>
      </c>
      <c r="E32" s="22"/>
      <c r="F32" s="24"/>
      <c r="G32" s="28"/>
      <c r="H32" s="30"/>
      <c r="I32" s="22"/>
      <c r="J32" s="23"/>
    </row>
    <row r="33" spans="1:12" x14ac:dyDescent="0.2">
      <c r="A33" s="3"/>
      <c r="B33" s="4"/>
      <c r="E33" s="22"/>
      <c r="F33" s="24"/>
      <c r="G33" s="28"/>
      <c r="H33" s="25"/>
      <c r="I33" s="22"/>
      <c r="J33" s="23"/>
    </row>
    <row r="34" spans="1:12" x14ac:dyDescent="0.2">
      <c r="A34" s="4" t="s">
        <v>34</v>
      </c>
      <c r="B34" s="4" t="s">
        <v>51</v>
      </c>
      <c r="C34" s="4" t="s">
        <v>35</v>
      </c>
      <c r="E34" s="31"/>
      <c r="F34" s="24"/>
      <c r="G34" s="28"/>
      <c r="H34" s="25"/>
      <c r="I34" s="22"/>
      <c r="J34" s="23"/>
    </row>
    <row r="35" spans="1:12" x14ac:dyDescent="0.2">
      <c r="A35" s="4">
        <v>1</v>
      </c>
      <c r="B35" s="8">
        <f>_xlfn.T.INV(0.975,B11-1)</f>
        <v>2.1603686564627917</v>
      </c>
      <c r="C35" s="14">
        <f>ROUNDUP((B$10*(B35*B$32)^2)/(B$10*B$31^2+(B35*B$32)^2),0)</f>
        <v>26</v>
      </c>
      <c r="D35" s="4"/>
      <c r="E35" s="25"/>
      <c r="F35" s="24"/>
      <c r="G35" s="28"/>
      <c r="H35" s="25"/>
      <c r="I35" s="22"/>
      <c r="J35" s="23"/>
    </row>
    <row r="36" spans="1:12" x14ac:dyDescent="0.2">
      <c r="A36" s="4">
        <v>2</v>
      </c>
      <c r="B36" s="8">
        <f>_xlfn.T.INV(0.975,C35-1)</f>
        <v>2.0595385527532977</v>
      </c>
      <c r="C36" s="14">
        <f t="shared" ref="C36:C37" si="11">ROUNDUP((B$10*(B36*B$32)^2)/(B$10*B$31^2+(B36*B$32)^2),0)</f>
        <v>25</v>
      </c>
      <c r="D36" s="4"/>
      <c r="E36" s="25"/>
      <c r="F36" s="25"/>
      <c r="G36" s="25"/>
      <c r="H36" s="25"/>
      <c r="I36" s="22"/>
      <c r="J36" s="23"/>
    </row>
    <row r="37" spans="1:12" x14ac:dyDescent="0.2">
      <c r="A37" s="4">
        <v>3</v>
      </c>
      <c r="B37" s="8">
        <f t="shared" ref="B37" si="12">_xlfn.T.INV(0.975,C36-1)</f>
        <v>2.0638985616280254</v>
      </c>
      <c r="C37" s="14">
        <f t="shared" si="11"/>
        <v>25</v>
      </c>
      <c r="D37" s="4"/>
      <c r="E37" s="25"/>
      <c r="F37" s="25"/>
      <c r="G37" s="25"/>
      <c r="H37" s="25"/>
      <c r="I37" s="22"/>
      <c r="J37" s="23"/>
    </row>
    <row r="38" spans="1:12" x14ac:dyDescent="0.2">
      <c r="A38" s="4"/>
      <c r="B38" s="8"/>
      <c r="C38" s="14"/>
      <c r="D38" s="4"/>
      <c r="E38" s="25"/>
      <c r="F38" s="25"/>
      <c r="G38" s="25"/>
      <c r="H38" s="25"/>
      <c r="I38" s="22"/>
      <c r="J38" s="23"/>
    </row>
    <row r="39" spans="1:12" ht="13.5" thickBot="1" x14ac:dyDescent="0.25">
      <c r="A39" s="40"/>
      <c r="B39" s="41"/>
      <c r="C39" s="42"/>
      <c r="D39" s="43"/>
      <c r="E39" s="44"/>
      <c r="F39" s="44"/>
      <c r="G39" s="44"/>
      <c r="H39" s="44"/>
      <c r="I39" s="45"/>
      <c r="J39" s="46"/>
      <c r="K39" s="43"/>
      <c r="L39" s="43"/>
    </row>
    <row r="41" spans="1:12" x14ac:dyDescent="0.2">
      <c r="B41" s="32" t="s">
        <v>36</v>
      </c>
      <c r="E41" s="18" t="s">
        <v>7</v>
      </c>
      <c r="F41" s="18" t="s">
        <v>41</v>
      </c>
      <c r="G41" s="18" t="s">
        <v>42</v>
      </c>
      <c r="H41" s="18" t="s">
        <v>38</v>
      </c>
      <c r="I41" s="18" t="s">
        <v>39</v>
      </c>
      <c r="J41" s="18" t="s">
        <v>47</v>
      </c>
      <c r="K41" s="18" t="s">
        <v>57</v>
      </c>
      <c r="L41" s="18" t="s">
        <v>58</v>
      </c>
    </row>
    <row r="42" spans="1:12" x14ac:dyDescent="0.2">
      <c r="A42" s="3" t="s">
        <v>54</v>
      </c>
      <c r="B42" s="4">
        <v>70</v>
      </c>
      <c r="E42" s="19">
        <v>1</v>
      </c>
      <c r="F42" s="19">
        <v>9.39</v>
      </c>
      <c r="G42" s="19">
        <v>31.4</v>
      </c>
      <c r="H42" s="10">
        <f>F42^2</f>
        <v>88.172100000000015</v>
      </c>
      <c r="I42" s="10">
        <f>G42^2</f>
        <v>985.95999999999992</v>
      </c>
      <c r="J42" s="10">
        <f>F42*G42</f>
        <v>294.846</v>
      </c>
      <c r="K42" s="35">
        <f>(F42-$B$44)^2</f>
        <v>20.598630612244904</v>
      </c>
      <c r="L42" s="35">
        <f>(G42-$B$45)^2</f>
        <v>6.278604081632678</v>
      </c>
    </row>
    <row r="43" spans="1:12" x14ac:dyDescent="0.2">
      <c r="A43" s="3" t="s">
        <v>23</v>
      </c>
      <c r="B43" s="17">
        <f>COUNT(F42:F55)</f>
        <v>14</v>
      </c>
      <c r="E43" s="19">
        <v>2</v>
      </c>
      <c r="F43" s="19">
        <v>2.4700000000000002</v>
      </c>
      <c r="G43" s="19">
        <v>27.38</v>
      </c>
      <c r="H43" s="10">
        <f>F43^2</f>
        <v>6.1009000000000011</v>
      </c>
      <c r="I43" s="10">
        <f t="shared" ref="I43:I55" si="13">G43^2</f>
        <v>749.6644</v>
      </c>
      <c r="J43" s="10">
        <f t="shared" ref="J43:J55" si="14">F43*G43</f>
        <v>67.628600000000006</v>
      </c>
      <c r="K43" s="35">
        <f t="shared" ref="K43:K55" si="15">(F43-$B$44)^2</f>
        <v>5.6712020408163255</v>
      </c>
      <c r="L43" s="35">
        <f t="shared" ref="L43:L55" si="16">(G43-$B$45)^2</f>
        <v>2.2930612244897794</v>
      </c>
    </row>
    <row r="44" spans="1:12" x14ac:dyDescent="0.2">
      <c r="A44" s="3" t="s">
        <v>25</v>
      </c>
      <c r="B44" s="8">
        <f>AVERAGE(F42:F55)</f>
        <v>4.8514285714285714</v>
      </c>
      <c r="C44" t="s">
        <v>26</v>
      </c>
      <c r="E44" s="19">
        <v>3</v>
      </c>
      <c r="F44" s="19">
        <v>6.4</v>
      </c>
      <c r="G44" s="19">
        <v>29.59</v>
      </c>
      <c r="H44" s="10">
        <f t="shared" ref="H44:H54" si="17">F44^2</f>
        <v>40.960000000000008</v>
      </c>
      <c r="I44" s="10">
        <f t="shared" si="13"/>
        <v>875.56809999999996</v>
      </c>
      <c r="J44" s="10">
        <f t="shared" si="14"/>
        <v>189.376</v>
      </c>
      <c r="K44" s="35">
        <f t="shared" si="15"/>
        <v>2.3980734693877563</v>
      </c>
      <c r="L44" s="35">
        <f t="shared" si="16"/>
        <v>0.48401836734694742</v>
      </c>
    </row>
    <row r="45" spans="1:12" x14ac:dyDescent="0.2">
      <c r="A45" s="3" t="s">
        <v>24</v>
      </c>
      <c r="B45" s="8">
        <f>AVERAGE(G42:G55)</f>
        <v>28.894285714285708</v>
      </c>
      <c r="C45" t="s">
        <v>27</v>
      </c>
      <c r="E45" s="19">
        <v>4</v>
      </c>
      <c r="F45" s="19">
        <v>2.71</v>
      </c>
      <c r="G45" s="19">
        <v>26.68</v>
      </c>
      <c r="H45" s="10">
        <f t="shared" si="17"/>
        <v>7.3441000000000001</v>
      </c>
      <c r="I45" s="10">
        <f t="shared" si="13"/>
        <v>711.82240000000002</v>
      </c>
      <c r="J45" s="10">
        <f t="shared" si="14"/>
        <v>72.302800000000005</v>
      </c>
      <c r="K45" s="35">
        <f t="shared" si="15"/>
        <v>4.585716326530612</v>
      </c>
      <c r="L45" s="35">
        <f t="shared" si="16"/>
        <v>4.9030612244897691</v>
      </c>
    </row>
    <row r="46" spans="1:12" x14ac:dyDescent="0.2">
      <c r="A46" s="3"/>
      <c r="B46" s="4"/>
      <c r="E46" s="19">
        <v>5</v>
      </c>
      <c r="F46" s="19">
        <v>1.92</v>
      </c>
      <c r="G46" s="19">
        <v>25.01</v>
      </c>
      <c r="H46" s="10">
        <f t="shared" si="17"/>
        <v>3.6863999999999999</v>
      </c>
      <c r="I46" s="10">
        <f t="shared" si="13"/>
        <v>625.50010000000009</v>
      </c>
      <c r="J46" s="10">
        <f t="shared" si="14"/>
        <v>48.019199999999998</v>
      </c>
      <c r="K46" s="35">
        <f t="shared" si="15"/>
        <v>8.5932734693877553</v>
      </c>
      <c r="L46" s="35">
        <f t="shared" si="16"/>
        <v>15.08767551020402</v>
      </c>
    </row>
    <row r="47" spans="1:12" x14ac:dyDescent="0.2">
      <c r="A47" s="3" t="s">
        <v>40</v>
      </c>
      <c r="B47" s="16">
        <f>F56</f>
        <v>67.92</v>
      </c>
      <c r="E47" s="19">
        <v>6</v>
      </c>
      <c r="F47" s="19">
        <v>2.2400000000000002</v>
      </c>
      <c r="G47" s="19">
        <v>25.51</v>
      </c>
      <c r="H47" s="10">
        <f t="shared" si="17"/>
        <v>5.0176000000000007</v>
      </c>
      <c r="I47" s="10">
        <f t="shared" si="13"/>
        <v>650.76010000000008</v>
      </c>
      <c r="J47" s="10">
        <f t="shared" si="14"/>
        <v>57.142400000000009</v>
      </c>
      <c r="K47" s="35">
        <f t="shared" si="15"/>
        <v>6.8195591836734684</v>
      </c>
      <c r="L47" s="35">
        <f t="shared" si="16"/>
        <v>11.453389795918314</v>
      </c>
    </row>
    <row r="48" spans="1:12" x14ac:dyDescent="0.2">
      <c r="A48" s="3" t="s">
        <v>43</v>
      </c>
      <c r="B48" s="16">
        <f>G56</f>
        <v>404.51999999999992</v>
      </c>
      <c r="E48" s="19">
        <v>7</v>
      </c>
      <c r="F48" s="19">
        <v>3.78</v>
      </c>
      <c r="G48" s="19">
        <v>28.08</v>
      </c>
      <c r="H48" s="10">
        <f t="shared" si="17"/>
        <v>14.288399999999999</v>
      </c>
      <c r="I48" s="10">
        <f t="shared" si="13"/>
        <v>788.48639999999989</v>
      </c>
      <c r="J48" s="10">
        <f t="shared" si="14"/>
        <v>106.14239999999999</v>
      </c>
      <c r="K48" s="35">
        <f t="shared" si="15"/>
        <v>1.1479591836734697</v>
      </c>
      <c r="L48" s="35">
        <f t="shared" si="16"/>
        <v>0.66306122448978833</v>
      </c>
    </row>
    <row r="49" spans="1:12" x14ac:dyDescent="0.2">
      <c r="A49" s="3" t="s">
        <v>44</v>
      </c>
      <c r="B49" s="16">
        <f>H56</f>
        <v>449.74899999999991</v>
      </c>
      <c r="E49" s="19">
        <v>8</v>
      </c>
      <c r="F49" s="19">
        <v>10.75</v>
      </c>
      <c r="G49" s="19">
        <v>34.57</v>
      </c>
      <c r="H49" s="10">
        <f t="shared" si="17"/>
        <v>115.5625</v>
      </c>
      <c r="I49" s="10">
        <f t="shared" si="13"/>
        <v>1195.0849000000001</v>
      </c>
      <c r="J49" s="10">
        <f t="shared" si="14"/>
        <v>371.6275</v>
      </c>
      <c r="K49" s="35">
        <f t="shared" si="15"/>
        <v>34.793144897959181</v>
      </c>
      <c r="L49" s="35">
        <f t="shared" si="16"/>
        <v>32.2137326530613</v>
      </c>
    </row>
    <row r="50" spans="1:12" x14ac:dyDescent="0.2">
      <c r="A50" s="3" t="s">
        <v>45</v>
      </c>
      <c r="B50" s="16">
        <f>I56</f>
        <v>11805.713600000001</v>
      </c>
      <c r="D50" s="13"/>
      <c r="E50" s="19">
        <v>9</v>
      </c>
      <c r="F50" s="19">
        <v>2.74</v>
      </c>
      <c r="G50" s="19">
        <v>27.97</v>
      </c>
      <c r="H50" s="10">
        <f t="shared" si="17"/>
        <v>7.5076000000000009</v>
      </c>
      <c r="I50" s="10">
        <f t="shared" si="13"/>
        <v>782.32089999999994</v>
      </c>
      <c r="J50" s="10">
        <f t="shared" si="14"/>
        <v>76.637799999999999</v>
      </c>
      <c r="K50" s="35">
        <f t="shared" si="15"/>
        <v>4.4581306122448972</v>
      </c>
      <c r="L50" s="35">
        <f t="shared" si="16"/>
        <v>0.85430408163264338</v>
      </c>
    </row>
    <row r="51" spans="1:12" x14ac:dyDescent="0.2">
      <c r="A51" s="3" t="s">
        <v>46</v>
      </c>
      <c r="B51" s="16">
        <f>J56</f>
        <v>2075.1908000000003</v>
      </c>
      <c r="E51" s="19">
        <v>10</v>
      </c>
      <c r="F51" s="19">
        <v>5.34</v>
      </c>
      <c r="G51" s="19">
        <v>29.37</v>
      </c>
      <c r="H51" s="10">
        <f t="shared" si="17"/>
        <v>28.515599999999999</v>
      </c>
      <c r="I51" s="10">
        <f t="shared" si="13"/>
        <v>862.59690000000001</v>
      </c>
      <c r="J51" s="10">
        <f t="shared" si="14"/>
        <v>156.83580000000001</v>
      </c>
      <c r="K51" s="35">
        <f t="shared" si="15"/>
        <v>0.2387020408163264</v>
      </c>
      <c r="L51" s="35">
        <f t="shared" si="16"/>
        <v>0.22630408163266008</v>
      </c>
    </row>
    <row r="52" spans="1:12" x14ac:dyDescent="0.2">
      <c r="A52" s="3"/>
      <c r="B52" s="4"/>
      <c r="E52" s="19">
        <v>11</v>
      </c>
      <c r="F52" s="19">
        <v>8.41</v>
      </c>
      <c r="G52" s="19">
        <v>32.770000000000003</v>
      </c>
      <c r="H52" s="10">
        <f t="shared" si="17"/>
        <v>70.728099999999998</v>
      </c>
      <c r="I52" s="10">
        <f t="shared" si="13"/>
        <v>1073.8729000000003</v>
      </c>
      <c r="J52" s="10">
        <f t="shared" si="14"/>
        <v>275.59570000000002</v>
      </c>
      <c r="K52" s="35">
        <f t="shared" si="15"/>
        <v>12.663430612244898</v>
      </c>
      <c r="L52" s="35">
        <f t="shared" si="16"/>
        <v>15.02116122448987</v>
      </c>
    </row>
    <row r="53" spans="1:12" x14ac:dyDescent="0.2">
      <c r="A53" s="3" t="s">
        <v>28</v>
      </c>
      <c r="B53" s="8">
        <f>(B51-(B47*B48)/B43)/(B49-(B47^2/B43))</f>
        <v>0.93721674204371364</v>
      </c>
      <c r="E53" s="19">
        <v>12</v>
      </c>
      <c r="F53" s="19">
        <v>7.1</v>
      </c>
      <c r="G53" s="19">
        <v>32.93</v>
      </c>
      <c r="H53" s="10">
        <f t="shared" si="17"/>
        <v>50.41</v>
      </c>
      <c r="I53" s="10">
        <f t="shared" si="13"/>
        <v>1084.3849</v>
      </c>
      <c r="J53" s="10">
        <f t="shared" si="14"/>
        <v>233.803</v>
      </c>
      <c r="K53" s="35">
        <f t="shared" si="15"/>
        <v>5.0560734693877531</v>
      </c>
      <c r="L53" s="35">
        <f t="shared" si="16"/>
        <v>16.286989795918416</v>
      </c>
    </row>
    <row r="54" spans="1:12" x14ac:dyDescent="0.2">
      <c r="A54" s="3" t="s">
        <v>48</v>
      </c>
      <c r="B54" s="8">
        <f>(L56-B53^2*K56)/12</f>
        <v>0.98177760936314584</v>
      </c>
      <c r="C54" t="s">
        <v>29</v>
      </c>
      <c r="D54" s="13"/>
      <c r="E54" s="19">
        <v>13</v>
      </c>
      <c r="F54" s="19">
        <v>1.81</v>
      </c>
      <c r="G54" s="19">
        <v>25.8</v>
      </c>
      <c r="H54" s="10">
        <f t="shared" si="17"/>
        <v>3.2761</v>
      </c>
      <c r="I54" s="10">
        <f t="shared" si="13"/>
        <v>665.64</v>
      </c>
      <c r="J54" s="10">
        <f t="shared" si="14"/>
        <v>46.698</v>
      </c>
      <c r="K54" s="35">
        <f t="shared" si="15"/>
        <v>9.2502877551020397</v>
      </c>
      <c r="L54" s="35">
        <f t="shared" si="16"/>
        <v>9.574604081632609</v>
      </c>
    </row>
    <row r="55" spans="1:12" x14ac:dyDescent="0.2">
      <c r="A55" s="3" t="s">
        <v>30</v>
      </c>
      <c r="B55" s="8">
        <f>((B48/B43)+B53*(5.180449-(B47/B43)))</f>
        <v>29.202649168417249</v>
      </c>
      <c r="C55" t="s">
        <v>26</v>
      </c>
      <c r="D55" s="12"/>
      <c r="E55" s="19">
        <v>14</v>
      </c>
      <c r="F55" s="19">
        <v>2.86</v>
      </c>
      <c r="G55" s="19">
        <v>27.46</v>
      </c>
      <c r="H55" s="10">
        <f>F55^2</f>
        <v>8.1795999999999989</v>
      </c>
      <c r="I55" s="10">
        <f t="shared" si="13"/>
        <v>754.05160000000001</v>
      </c>
      <c r="J55" s="10">
        <f t="shared" si="14"/>
        <v>78.535600000000002</v>
      </c>
      <c r="K55" s="35">
        <f t="shared" si="15"/>
        <v>3.9657877551020415</v>
      </c>
      <c r="L55" s="35">
        <f t="shared" si="16"/>
        <v>2.0571755102040608</v>
      </c>
    </row>
    <row r="56" spans="1:12" x14ac:dyDescent="0.2">
      <c r="A56" s="3"/>
      <c r="B56" s="15"/>
      <c r="D56" s="13"/>
      <c r="E56" s="20" t="s">
        <v>37</v>
      </c>
      <c r="F56" s="21">
        <f t="shared" ref="F56:G56" si="18">SUM(F42:F55)</f>
        <v>67.92</v>
      </c>
      <c r="G56" s="21">
        <f t="shared" si="18"/>
        <v>404.51999999999992</v>
      </c>
      <c r="H56" s="21">
        <f>SUM(H42:H55)</f>
        <v>449.74899999999991</v>
      </c>
      <c r="I56" s="21">
        <f t="shared" ref="I56:J56" si="19">SUM(I42:I55)</f>
        <v>11805.713600000001</v>
      </c>
      <c r="J56" s="21">
        <f t="shared" si="19"/>
        <v>2075.1908000000003</v>
      </c>
      <c r="K56" s="21">
        <f t="shared" ref="K56" si="20">SUM(K42:K55)</f>
        <v>120.23997142857142</v>
      </c>
      <c r="L56" s="21">
        <f t="shared" ref="L56" si="21">SUM(L42:L55)</f>
        <v>117.39714285714287</v>
      </c>
    </row>
    <row r="57" spans="1:12" x14ac:dyDescent="0.2">
      <c r="A57" s="3" t="s">
        <v>53</v>
      </c>
      <c r="B57" s="8">
        <f>1-B43/70</f>
        <v>0.8</v>
      </c>
    </row>
    <row r="58" spans="1:12" x14ac:dyDescent="0.2">
      <c r="A58" s="3" t="s">
        <v>52</v>
      </c>
      <c r="B58" s="8">
        <f>(B54/B43)*B57</f>
        <v>5.6101577677894046E-2</v>
      </c>
      <c r="C58" t="s">
        <v>29</v>
      </c>
    </row>
    <row r="59" spans="1:12" x14ac:dyDescent="0.2">
      <c r="A59" s="3" t="s">
        <v>51</v>
      </c>
      <c r="B59" s="8">
        <f>_xlfn.T.INV(0.975,B43-1)</f>
        <v>2.1603686564627917</v>
      </c>
      <c r="E59" s="22"/>
      <c r="F59" s="23"/>
      <c r="G59" s="23"/>
      <c r="H59" s="23"/>
      <c r="I59" s="22"/>
      <c r="J59" s="24"/>
    </row>
    <row r="60" spans="1:12" x14ac:dyDescent="0.2">
      <c r="A60" s="3" t="s">
        <v>49</v>
      </c>
      <c r="B60" s="8">
        <f>B59*SQRT(B58)</f>
        <v>0.51169998591194665</v>
      </c>
      <c r="C60" t="s">
        <v>26</v>
      </c>
      <c r="E60" s="22"/>
      <c r="F60" s="24"/>
      <c r="G60" s="24"/>
      <c r="H60" s="24"/>
      <c r="I60" s="26"/>
      <c r="J60" s="23"/>
    </row>
    <row r="61" spans="1:12" x14ac:dyDescent="0.2">
      <c r="A61" s="3" t="s">
        <v>50</v>
      </c>
      <c r="B61" s="8">
        <f>(B60/B45)*100</f>
        <v>1.7709383473665712</v>
      </c>
      <c r="C61" t="s">
        <v>31</v>
      </c>
      <c r="E61" s="22"/>
      <c r="F61" s="23"/>
      <c r="G61" s="23"/>
      <c r="H61" s="23"/>
      <c r="I61" s="27"/>
      <c r="J61" s="24"/>
    </row>
    <row r="62" spans="1:12" x14ac:dyDescent="0.2">
      <c r="B62" s="4"/>
      <c r="E62" s="25"/>
      <c r="F62" s="25"/>
      <c r="G62" s="25"/>
      <c r="H62" s="28"/>
      <c r="I62" s="29"/>
      <c r="J62" s="24"/>
      <c r="K62" s="25"/>
    </row>
    <row r="63" spans="1:12" x14ac:dyDescent="0.2">
      <c r="A63" s="3" t="s">
        <v>32</v>
      </c>
      <c r="B63" s="8">
        <v>5</v>
      </c>
      <c r="E63" s="25"/>
      <c r="F63" s="23"/>
      <c r="G63" s="23"/>
      <c r="H63" s="24"/>
      <c r="I63" s="22"/>
      <c r="J63" s="23"/>
      <c r="K63" s="25"/>
    </row>
    <row r="64" spans="1:12" x14ac:dyDescent="0.2">
      <c r="A64" s="3" t="s">
        <v>33</v>
      </c>
      <c r="B64" s="8">
        <f>((SQRT(B54))/B55)*100</f>
        <v>3.3930035233670068</v>
      </c>
      <c r="E64" s="22"/>
      <c r="F64" s="24"/>
      <c r="G64" s="28"/>
      <c r="H64" s="30"/>
      <c r="I64" s="22"/>
      <c r="J64" s="23"/>
      <c r="K64" s="25"/>
    </row>
    <row r="65" spans="1:12" x14ac:dyDescent="0.2">
      <c r="A65" s="3"/>
      <c r="B65" s="4"/>
      <c r="E65" s="22"/>
      <c r="F65" s="24"/>
      <c r="G65" s="28"/>
      <c r="H65" s="25"/>
      <c r="I65" s="22"/>
      <c r="J65" s="23"/>
      <c r="K65" s="25"/>
    </row>
    <row r="66" spans="1:12" x14ac:dyDescent="0.2">
      <c r="A66" s="4" t="s">
        <v>34</v>
      </c>
      <c r="B66" s="4" t="s">
        <v>51</v>
      </c>
      <c r="C66" s="4" t="s">
        <v>35</v>
      </c>
      <c r="E66" s="31"/>
      <c r="F66" s="24"/>
      <c r="G66" s="28"/>
      <c r="H66" s="25"/>
      <c r="I66" s="22"/>
      <c r="J66" s="23"/>
      <c r="K66" s="25"/>
    </row>
    <row r="67" spans="1:12" x14ac:dyDescent="0.2">
      <c r="A67" s="4">
        <v>1</v>
      </c>
      <c r="B67" s="8">
        <f>_xlfn.T.INV(0.975,B43-1)</f>
        <v>2.1603686564627917</v>
      </c>
      <c r="C67" s="14">
        <f>(B$42*(B67*B$64)^2)/(B$42*B$63^2+(B67*B$64)^2)</f>
        <v>2.0852140582065832</v>
      </c>
      <c r="D67" s="4"/>
      <c r="E67" s="25"/>
      <c r="F67" s="24"/>
      <c r="G67" s="28"/>
      <c r="H67" s="25"/>
      <c r="I67" s="22"/>
      <c r="J67" s="23"/>
      <c r="K67" s="25"/>
    </row>
    <row r="68" spans="1:12" x14ac:dyDescent="0.2">
      <c r="A68" s="4">
        <v>2</v>
      </c>
      <c r="B68" s="8">
        <f>_xlfn.T.INV(0.975,C67-1)</f>
        <v>12.706204736174694</v>
      </c>
      <c r="C68" s="14">
        <f t="shared" ref="C68" si="22">(B$42*(B68*B$64)^2)/(B$42*B$63^2+(B68*B$64)^2)</f>
        <v>36.053896245857324</v>
      </c>
      <c r="D68" s="4"/>
      <c r="E68" s="25"/>
      <c r="F68" s="25"/>
      <c r="G68" s="25"/>
      <c r="H68" s="25"/>
      <c r="I68" s="22"/>
      <c r="J68" s="23"/>
      <c r="K68" s="25"/>
    </row>
    <row r="69" spans="1:12" x14ac:dyDescent="0.2">
      <c r="A69" s="4"/>
      <c r="B69" s="8"/>
      <c r="C69" s="14"/>
      <c r="D69" s="4"/>
      <c r="E69" s="25"/>
      <c r="F69" s="25"/>
      <c r="G69" s="25"/>
      <c r="H69" s="25"/>
      <c r="I69" s="22"/>
      <c r="J69" s="23"/>
      <c r="K69" s="25"/>
    </row>
    <row r="70" spans="1:12" x14ac:dyDescent="0.2">
      <c r="A70" s="4"/>
      <c r="B70" s="8"/>
      <c r="C70" s="14"/>
      <c r="D70" s="4"/>
      <c r="E70" s="25"/>
      <c r="F70" s="25"/>
      <c r="G70" s="25"/>
      <c r="H70" s="25"/>
      <c r="I70" s="22"/>
      <c r="J70" s="23"/>
      <c r="K70" s="25"/>
    </row>
    <row r="71" spans="1:12" ht="13.5" thickBot="1" x14ac:dyDescent="0.25">
      <c r="A71" s="40"/>
      <c r="B71" s="41"/>
      <c r="C71" s="42"/>
      <c r="D71" s="43"/>
      <c r="E71" s="44"/>
      <c r="F71" s="44"/>
      <c r="G71" s="44"/>
      <c r="H71" s="44"/>
      <c r="I71" s="45"/>
      <c r="J71" s="46"/>
      <c r="K71" s="44"/>
      <c r="L71" s="43"/>
    </row>
    <row r="72" spans="1:12" x14ac:dyDescent="0.2">
      <c r="A72" s="4"/>
      <c r="B72" s="15"/>
      <c r="C72" s="8"/>
      <c r="E72" s="25"/>
      <c r="F72" s="25"/>
      <c r="G72" s="25"/>
      <c r="H72" s="25"/>
      <c r="I72" s="22"/>
      <c r="J72" s="23"/>
      <c r="K72" s="25"/>
    </row>
    <row r="73" spans="1:12" x14ac:dyDescent="0.2">
      <c r="B73" s="32" t="s">
        <v>55</v>
      </c>
      <c r="E73" s="18" t="s">
        <v>7</v>
      </c>
      <c r="F73" s="18" t="s">
        <v>41</v>
      </c>
      <c r="G73" s="18" t="s">
        <v>42</v>
      </c>
      <c r="H73" s="18" t="s">
        <v>38</v>
      </c>
      <c r="I73" s="18" t="s">
        <v>39</v>
      </c>
      <c r="J73" s="18" t="s">
        <v>47</v>
      </c>
      <c r="K73" s="18" t="s">
        <v>57</v>
      </c>
      <c r="L73" s="18" t="s">
        <v>58</v>
      </c>
    </row>
    <row r="74" spans="1:12" x14ac:dyDescent="0.2">
      <c r="A74" s="3" t="s">
        <v>54</v>
      </c>
      <c r="B74" s="4">
        <v>70</v>
      </c>
      <c r="E74" s="19">
        <v>1</v>
      </c>
      <c r="F74" s="19">
        <v>9.39</v>
      </c>
      <c r="G74" s="35">
        <v>187.22</v>
      </c>
      <c r="H74" s="10">
        <f>F74^2</f>
        <v>88.172100000000015</v>
      </c>
      <c r="I74" s="10">
        <f>G74^2</f>
        <v>35051.328399999999</v>
      </c>
      <c r="J74" s="10">
        <f>F74*G74</f>
        <v>1757.9958000000001</v>
      </c>
      <c r="K74" s="35">
        <f>(F74-$B$76)^2</f>
        <v>20.598630612244904</v>
      </c>
      <c r="L74" s="35">
        <f>(G74-$B$77)^2</f>
        <v>5235.2460249999986</v>
      </c>
    </row>
    <row r="75" spans="1:12" x14ac:dyDescent="0.2">
      <c r="A75" s="3" t="s">
        <v>23</v>
      </c>
      <c r="B75" s="17">
        <f>COUNT(F74:F87)</f>
        <v>14</v>
      </c>
      <c r="E75" s="19">
        <v>2</v>
      </c>
      <c r="F75" s="19">
        <v>2.4700000000000002</v>
      </c>
      <c r="G75" s="35">
        <v>80</v>
      </c>
      <c r="H75" s="10">
        <f>F75^2</f>
        <v>6.1009000000000011</v>
      </c>
      <c r="I75" s="10">
        <f t="shared" ref="I75:I87" si="23">G75^2</f>
        <v>6400</v>
      </c>
      <c r="J75" s="10">
        <f t="shared" ref="J75:J87" si="24">F75*G75</f>
        <v>197.60000000000002</v>
      </c>
      <c r="K75" s="35">
        <f t="shared" ref="K75:K87" si="25">(F75-$B$76)^2</f>
        <v>5.6712020408163255</v>
      </c>
      <c r="L75" s="35">
        <f t="shared" ref="L75:L87" si="26">(G75-$B$77)^2</f>
        <v>1215.5682250000007</v>
      </c>
    </row>
    <row r="76" spans="1:12" x14ac:dyDescent="0.2">
      <c r="A76" s="3" t="s">
        <v>25</v>
      </c>
      <c r="B76" s="8">
        <f>AVERAGE(F74:F87)</f>
        <v>4.8514285714285714</v>
      </c>
      <c r="C76" t="s">
        <v>26</v>
      </c>
      <c r="E76" s="19">
        <v>3</v>
      </c>
      <c r="F76" s="19">
        <v>6.4</v>
      </c>
      <c r="G76" s="35">
        <v>137.61000000000001</v>
      </c>
      <c r="H76" s="10">
        <f t="shared" ref="H76:H86" si="27">F76^2</f>
        <v>40.960000000000008</v>
      </c>
      <c r="I76" s="10">
        <f t="shared" si="23"/>
        <v>18936.512100000004</v>
      </c>
      <c r="J76" s="10">
        <f t="shared" si="24"/>
        <v>880.70400000000018</v>
      </c>
      <c r="K76" s="35">
        <f t="shared" si="25"/>
        <v>2.3980734693877563</v>
      </c>
      <c r="L76" s="35">
        <f t="shared" si="26"/>
        <v>517.3350250000002</v>
      </c>
    </row>
    <row r="77" spans="1:12" x14ac:dyDescent="0.2">
      <c r="A77" s="3" t="s">
        <v>24</v>
      </c>
      <c r="B77" s="8">
        <f>AVERAGE(G74:G87)</f>
        <v>114.86500000000001</v>
      </c>
      <c r="C77" t="s">
        <v>27</v>
      </c>
      <c r="E77" s="19">
        <v>4</v>
      </c>
      <c r="F77" s="19">
        <v>2.71</v>
      </c>
      <c r="G77" s="35">
        <v>83.77</v>
      </c>
      <c r="H77" s="10">
        <f t="shared" si="27"/>
        <v>7.3441000000000001</v>
      </c>
      <c r="I77" s="10">
        <f t="shared" si="23"/>
        <v>7017.4128999999994</v>
      </c>
      <c r="J77" s="10">
        <f t="shared" si="24"/>
        <v>227.01669999999999</v>
      </c>
      <c r="K77" s="35">
        <f t="shared" si="25"/>
        <v>4.585716326530612</v>
      </c>
      <c r="L77" s="35">
        <f t="shared" si="26"/>
        <v>966.89902500000085</v>
      </c>
    </row>
    <row r="78" spans="1:12" x14ac:dyDescent="0.2">
      <c r="A78" s="3"/>
      <c r="B78" s="4"/>
      <c r="E78" s="19">
        <v>5</v>
      </c>
      <c r="F78" s="19">
        <v>1.92</v>
      </c>
      <c r="G78" s="35">
        <v>73.010000000000005</v>
      </c>
      <c r="H78" s="10">
        <f t="shared" si="27"/>
        <v>3.6863999999999999</v>
      </c>
      <c r="I78" s="10">
        <f t="shared" si="23"/>
        <v>5330.4601000000011</v>
      </c>
      <c r="J78" s="10">
        <f t="shared" si="24"/>
        <v>140.17920000000001</v>
      </c>
      <c r="K78" s="35">
        <f t="shared" si="25"/>
        <v>8.5932734693877553</v>
      </c>
      <c r="L78" s="35">
        <f t="shared" si="26"/>
        <v>1751.8410250000004</v>
      </c>
    </row>
    <row r="79" spans="1:12" x14ac:dyDescent="0.2">
      <c r="A79" s="3" t="s">
        <v>40</v>
      </c>
      <c r="B79" s="16">
        <f>F88</f>
        <v>67.92</v>
      </c>
      <c r="E79" s="19">
        <v>6</v>
      </c>
      <c r="F79" s="19">
        <v>2.2400000000000002</v>
      </c>
      <c r="G79" s="35">
        <v>71.63</v>
      </c>
      <c r="H79" s="10">
        <f t="shared" si="27"/>
        <v>5.0176000000000007</v>
      </c>
      <c r="I79" s="10">
        <f t="shared" si="23"/>
        <v>5130.8568999999998</v>
      </c>
      <c r="J79" s="10">
        <f t="shared" si="24"/>
        <v>160.4512</v>
      </c>
      <c r="K79" s="35">
        <f t="shared" si="25"/>
        <v>6.8195591836734684</v>
      </c>
      <c r="L79" s="35">
        <f t="shared" si="26"/>
        <v>1869.2652250000012</v>
      </c>
    </row>
    <row r="80" spans="1:12" x14ac:dyDescent="0.2">
      <c r="A80" s="3" t="s">
        <v>43</v>
      </c>
      <c r="B80" s="16">
        <f>G88</f>
        <v>1608.1100000000001</v>
      </c>
      <c r="E80" s="19">
        <v>7</v>
      </c>
      <c r="F80" s="19">
        <v>3.78</v>
      </c>
      <c r="G80" s="35">
        <v>106.25</v>
      </c>
      <c r="H80" s="10">
        <f t="shared" si="27"/>
        <v>14.288399999999999</v>
      </c>
      <c r="I80" s="10">
        <f t="shared" si="23"/>
        <v>11289.0625</v>
      </c>
      <c r="J80" s="10">
        <f t="shared" si="24"/>
        <v>401.625</v>
      </c>
      <c r="K80" s="35">
        <f t="shared" si="25"/>
        <v>1.1479591836734697</v>
      </c>
      <c r="L80" s="35">
        <f t="shared" si="26"/>
        <v>74.21822500000016</v>
      </c>
    </row>
    <row r="81" spans="1:12" x14ac:dyDescent="0.2">
      <c r="A81" s="3" t="s">
        <v>44</v>
      </c>
      <c r="B81" s="16">
        <f>H88</f>
        <v>449.74899999999991</v>
      </c>
      <c r="E81" s="19">
        <v>8</v>
      </c>
      <c r="F81" s="19">
        <v>10.75</v>
      </c>
      <c r="G81" s="35">
        <v>192.63</v>
      </c>
      <c r="H81" s="10">
        <f t="shared" si="27"/>
        <v>115.5625</v>
      </c>
      <c r="I81" s="10">
        <f t="shared" si="23"/>
        <v>37106.316899999998</v>
      </c>
      <c r="J81" s="10">
        <f t="shared" si="24"/>
        <v>2070.7725</v>
      </c>
      <c r="K81" s="35">
        <f t="shared" si="25"/>
        <v>34.793144897959181</v>
      </c>
      <c r="L81" s="35">
        <f t="shared" si="26"/>
        <v>6047.3952249999975</v>
      </c>
    </row>
    <row r="82" spans="1:12" x14ac:dyDescent="0.2">
      <c r="A82" s="3" t="s">
        <v>45</v>
      </c>
      <c r="B82" s="16">
        <f>I88</f>
        <v>208032.9589</v>
      </c>
      <c r="E82" s="19">
        <v>9</v>
      </c>
      <c r="F82" s="19">
        <v>2.74</v>
      </c>
      <c r="G82" s="35">
        <v>107.8</v>
      </c>
      <c r="H82" s="10">
        <f t="shared" si="27"/>
        <v>7.5076000000000009</v>
      </c>
      <c r="I82" s="10">
        <f t="shared" si="23"/>
        <v>11620.84</v>
      </c>
      <c r="J82" s="10">
        <f t="shared" si="24"/>
        <v>295.37200000000001</v>
      </c>
      <c r="K82" s="35">
        <f t="shared" si="25"/>
        <v>4.4581306122448972</v>
      </c>
      <c r="L82" s="35">
        <f t="shared" si="26"/>
        <v>49.914225000000165</v>
      </c>
    </row>
    <row r="83" spans="1:12" x14ac:dyDescent="0.2">
      <c r="A83" s="3" t="s">
        <v>46</v>
      </c>
      <c r="B83" s="16">
        <f>J88</f>
        <v>9415.8945000000003</v>
      </c>
      <c r="E83" s="19">
        <v>10</v>
      </c>
      <c r="F83" s="19">
        <v>5.34</v>
      </c>
      <c r="G83" s="35">
        <v>116.93</v>
      </c>
      <c r="H83" s="10">
        <f t="shared" si="27"/>
        <v>28.515599999999999</v>
      </c>
      <c r="I83" s="10">
        <f t="shared" si="23"/>
        <v>13672.624900000001</v>
      </c>
      <c r="J83" s="10">
        <f t="shared" si="24"/>
        <v>624.40620000000001</v>
      </c>
      <c r="K83" s="35">
        <f t="shared" si="25"/>
        <v>0.2387020408163264</v>
      </c>
      <c r="L83" s="35">
        <f t="shared" si="26"/>
        <v>4.2642249999999908</v>
      </c>
    </row>
    <row r="84" spans="1:12" x14ac:dyDescent="0.2">
      <c r="A84" s="3"/>
      <c r="B84" s="4"/>
      <c r="E84" s="19">
        <v>11</v>
      </c>
      <c r="F84" s="19">
        <v>8.41</v>
      </c>
      <c r="G84" s="35">
        <v>146.16</v>
      </c>
      <c r="H84" s="10">
        <f t="shared" si="27"/>
        <v>70.728099999999998</v>
      </c>
      <c r="I84" s="10">
        <f t="shared" si="23"/>
        <v>21362.745599999998</v>
      </c>
      <c r="J84" s="10">
        <f t="shared" si="24"/>
        <v>1229.2056</v>
      </c>
      <c r="K84" s="35">
        <f t="shared" si="25"/>
        <v>12.663430612244898</v>
      </c>
      <c r="L84" s="35">
        <f t="shared" si="26"/>
        <v>979.37702499999921</v>
      </c>
    </row>
    <row r="85" spans="1:12" x14ac:dyDescent="0.2">
      <c r="A85" s="3" t="s">
        <v>28</v>
      </c>
      <c r="B85" s="8">
        <f>(B83-(B79*B80)/B75)/(B81-(B79^2/B75))</f>
        <v>13.425349996518873</v>
      </c>
      <c r="E85" s="19">
        <v>12</v>
      </c>
      <c r="F85" s="19">
        <v>7.1</v>
      </c>
      <c r="G85" s="35">
        <v>152.77000000000001</v>
      </c>
      <c r="H85" s="10">
        <f t="shared" si="27"/>
        <v>50.41</v>
      </c>
      <c r="I85" s="10">
        <f t="shared" si="23"/>
        <v>23338.672900000001</v>
      </c>
      <c r="J85" s="10">
        <f t="shared" si="24"/>
        <v>1084.6669999999999</v>
      </c>
      <c r="K85" s="35">
        <f t="shared" si="25"/>
        <v>5.0560734693877531</v>
      </c>
      <c r="L85" s="35">
        <f t="shared" si="26"/>
        <v>1436.789025</v>
      </c>
    </row>
    <row r="86" spans="1:12" x14ac:dyDescent="0.2">
      <c r="A86" s="3" t="s">
        <v>48</v>
      </c>
      <c r="B86" s="8">
        <f>(L88-B85^2*K88)/12</f>
        <v>137.11238256870365</v>
      </c>
      <c r="C86" t="s">
        <v>29</v>
      </c>
      <c r="D86" s="13"/>
      <c r="E86" s="19">
        <v>13</v>
      </c>
      <c r="F86" s="19">
        <v>1.81</v>
      </c>
      <c r="G86" s="35">
        <v>85.49</v>
      </c>
      <c r="H86" s="10">
        <f t="shared" si="27"/>
        <v>3.2761</v>
      </c>
      <c r="I86" s="10">
        <f t="shared" si="23"/>
        <v>7308.5400999999993</v>
      </c>
      <c r="J86" s="10">
        <f t="shared" si="24"/>
        <v>154.73689999999999</v>
      </c>
      <c r="K86" s="35">
        <f t="shared" si="25"/>
        <v>9.2502877551020397</v>
      </c>
      <c r="L86" s="35">
        <f t="shared" si="26"/>
        <v>862.8906250000008</v>
      </c>
    </row>
    <row r="87" spans="1:12" x14ac:dyDescent="0.2">
      <c r="A87" s="3" t="s">
        <v>30</v>
      </c>
      <c r="B87" s="8">
        <f>((B80/B75)+B85*(5.180449-(B79/B75)))</f>
        <v>119.28221440957608</v>
      </c>
      <c r="C87" t="s">
        <v>26</v>
      </c>
      <c r="E87" s="19">
        <v>14</v>
      </c>
      <c r="F87" s="19">
        <v>2.86</v>
      </c>
      <c r="G87" s="37">
        <v>66.84</v>
      </c>
      <c r="H87" s="10">
        <f>F87^2</f>
        <v>8.1795999999999989</v>
      </c>
      <c r="I87" s="10">
        <f t="shared" si="23"/>
        <v>4467.5856000000003</v>
      </c>
      <c r="J87" s="10">
        <f t="shared" si="24"/>
        <v>191.16239999999999</v>
      </c>
      <c r="K87" s="35">
        <f t="shared" si="25"/>
        <v>3.9657877551020415</v>
      </c>
      <c r="L87" s="35">
        <f t="shared" si="26"/>
        <v>2306.4006250000007</v>
      </c>
    </row>
    <row r="88" spans="1:12" x14ac:dyDescent="0.2">
      <c r="A88" s="3"/>
      <c r="B88" s="15"/>
      <c r="E88" s="20" t="s">
        <v>37</v>
      </c>
      <c r="F88" s="21">
        <f t="shared" ref="F88" si="28">SUM(F74:F87)</f>
        <v>67.92</v>
      </c>
      <c r="G88" s="10">
        <f t="shared" ref="G88" si="29">SUM(G74:G87)</f>
        <v>1608.1100000000001</v>
      </c>
      <c r="H88" s="21">
        <f>SUM(H74:H87)</f>
        <v>449.74899999999991</v>
      </c>
      <c r="I88" s="21">
        <f t="shared" ref="I88" si="30">SUM(I74:I87)</f>
        <v>208032.9589</v>
      </c>
      <c r="J88" s="21">
        <f t="shared" ref="J88" si="31">SUM(J74:J87)</f>
        <v>9415.8945000000003</v>
      </c>
      <c r="K88" s="21">
        <f t="shared" ref="K88" si="32">SUM(K74:K87)</f>
        <v>120.23997142857142</v>
      </c>
      <c r="L88" s="21">
        <f t="shared" ref="L88" si="33">SUM(L74:L87)</f>
        <v>23317.403749999998</v>
      </c>
    </row>
    <row r="89" spans="1:12" x14ac:dyDescent="0.2">
      <c r="A89" s="3" t="s">
        <v>53</v>
      </c>
      <c r="B89" s="8">
        <f>1-B75/70</f>
        <v>0.8</v>
      </c>
    </row>
    <row r="90" spans="1:12" x14ac:dyDescent="0.2">
      <c r="A90" s="3" t="s">
        <v>52</v>
      </c>
      <c r="B90" s="8">
        <f>(B86/B75)*B89</f>
        <v>7.8349932896402086</v>
      </c>
      <c r="C90" t="s">
        <v>29</v>
      </c>
    </row>
    <row r="91" spans="1:12" x14ac:dyDescent="0.2">
      <c r="A91" s="3" t="s">
        <v>51</v>
      </c>
      <c r="B91" s="8">
        <f>_xlfn.T.INV(0.975,B75-1)</f>
        <v>2.1603686564627917</v>
      </c>
      <c r="E91" s="22"/>
      <c r="F91" s="23"/>
      <c r="G91" s="23"/>
      <c r="H91" s="23"/>
      <c r="I91" s="22"/>
      <c r="J91" s="24"/>
    </row>
    <row r="92" spans="1:12" x14ac:dyDescent="0.2">
      <c r="A92" s="3" t="s">
        <v>49</v>
      </c>
      <c r="B92" s="8">
        <f>B91*SQRT(B90)</f>
        <v>6.0471004403202118</v>
      </c>
      <c r="C92" t="s">
        <v>26</v>
      </c>
      <c r="E92" s="22"/>
      <c r="F92" s="24"/>
      <c r="G92" s="24"/>
      <c r="H92" s="24"/>
      <c r="I92" s="26"/>
      <c r="J92" s="23"/>
    </row>
    <row r="93" spans="1:12" x14ac:dyDescent="0.2">
      <c r="A93" s="3" t="s">
        <v>50</v>
      </c>
      <c r="B93" s="8">
        <f>(B92/B77)*100</f>
        <v>5.2645283074219407</v>
      </c>
      <c r="C93" t="s">
        <v>31</v>
      </c>
      <c r="E93" s="22"/>
      <c r="F93" s="23"/>
      <c r="G93" s="23"/>
      <c r="H93" s="23"/>
      <c r="I93" s="27"/>
      <c r="J93" s="24"/>
    </row>
    <row r="94" spans="1:12" x14ac:dyDescent="0.2">
      <c r="B94" s="4"/>
      <c r="E94" s="25"/>
      <c r="F94" s="25"/>
      <c r="G94" s="25"/>
      <c r="H94" s="28"/>
      <c r="I94" s="29"/>
      <c r="J94" s="24"/>
    </row>
    <row r="95" spans="1:12" x14ac:dyDescent="0.2">
      <c r="A95" s="3" t="s">
        <v>32</v>
      </c>
      <c r="B95" s="8">
        <v>5</v>
      </c>
      <c r="E95" s="25"/>
      <c r="F95" s="23"/>
      <c r="G95" s="23"/>
      <c r="H95" s="24"/>
      <c r="I95" s="22"/>
      <c r="J95" s="23"/>
    </row>
    <row r="96" spans="1:12" x14ac:dyDescent="0.2">
      <c r="A96" s="3" t="s">
        <v>33</v>
      </c>
      <c r="B96" s="8">
        <f>((SQRT(B86))/B87)*100</f>
        <v>9.8166350532353448</v>
      </c>
      <c r="E96" s="22"/>
      <c r="F96" s="24"/>
      <c r="G96" s="28"/>
      <c r="H96" s="30"/>
      <c r="I96" s="22"/>
      <c r="J96" s="23"/>
    </row>
    <row r="97" spans="1:10" x14ac:dyDescent="0.2">
      <c r="A97" s="3"/>
      <c r="B97" s="4"/>
      <c r="E97" s="22"/>
      <c r="F97" s="24"/>
      <c r="G97" s="28"/>
      <c r="H97" s="25"/>
      <c r="I97" s="22"/>
      <c r="J97" s="23"/>
    </row>
    <row r="98" spans="1:10" x14ac:dyDescent="0.2">
      <c r="A98" s="4" t="s">
        <v>34</v>
      </c>
      <c r="B98" s="4" t="s">
        <v>51</v>
      </c>
      <c r="C98" s="4" t="s">
        <v>35</v>
      </c>
      <c r="E98" s="31"/>
      <c r="F98" s="24"/>
      <c r="G98" s="28"/>
      <c r="H98" s="25"/>
      <c r="I98" s="22"/>
      <c r="J98" s="23"/>
    </row>
    <row r="99" spans="1:10" x14ac:dyDescent="0.2">
      <c r="A99" s="4">
        <v>1</v>
      </c>
      <c r="B99" s="8">
        <f>_xlfn.T.INV(0.975,B75-1)</f>
        <v>2.1603686564627917</v>
      </c>
      <c r="C99" s="14">
        <f>ROUNDUP((B$42*(B99*B$96)^2)/(B$42*B$95^2+(B99*B$96)^2),0)</f>
        <v>15</v>
      </c>
      <c r="D99" s="4"/>
      <c r="E99" s="25"/>
      <c r="F99" s="24"/>
      <c r="G99" s="28"/>
      <c r="H99" s="25"/>
      <c r="I99" s="22"/>
      <c r="J99" s="23"/>
    </row>
    <row r="100" spans="1:10" x14ac:dyDescent="0.2">
      <c r="A100" s="4">
        <v>2</v>
      </c>
      <c r="B100" s="8">
        <f>_xlfn.T.INV(0.975,C99-1)</f>
        <v>2.1447866879178035</v>
      </c>
      <c r="C100" s="14">
        <f t="shared" ref="C100:C101" si="34">ROUNDUP((B$42*(B100*B$96)^2)/(B$42*B$95^2+(B100*B$96)^2),0)</f>
        <v>15</v>
      </c>
      <c r="D100" s="4"/>
      <c r="E100" s="25"/>
      <c r="F100" s="25"/>
      <c r="G100" s="25"/>
      <c r="H100" s="25"/>
      <c r="I100" s="22"/>
      <c r="J100" s="23"/>
    </row>
    <row r="101" spans="1:10" x14ac:dyDescent="0.2">
      <c r="A101" s="4">
        <v>3</v>
      </c>
      <c r="B101" s="8">
        <f t="shared" ref="B101" si="35">_xlfn.T.INV(0.975,C100-1)</f>
        <v>2.1447866879178035</v>
      </c>
      <c r="C101" s="14">
        <f t="shared" si="34"/>
        <v>15</v>
      </c>
      <c r="D101" s="4"/>
      <c r="E101" s="25"/>
      <c r="F101" s="25"/>
      <c r="G101" s="25"/>
      <c r="H101" s="25"/>
      <c r="I101" s="22"/>
      <c r="J101" s="23"/>
    </row>
    <row r="102" spans="1:10" x14ac:dyDescent="0.2">
      <c r="A102" s="4"/>
      <c r="B102" s="8"/>
      <c r="C102" s="14"/>
      <c r="D102" s="4"/>
      <c r="E102" s="25"/>
      <c r="F102" s="25"/>
      <c r="G102" s="25"/>
      <c r="H102" s="25"/>
      <c r="I102" s="22"/>
      <c r="J102" s="23"/>
    </row>
    <row r="103" spans="1:10" x14ac:dyDescent="0.2">
      <c r="A103" s="4"/>
      <c r="B103" s="8"/>
      <c r="C103" s="14"/>
      <c r="E103" s="25"/>
      <c r="F103" s="25"/>
      <c r="G103" s="25"/>
      <c r="H103" s="25"/>
      <c r="I103" s="22"/>
      <c r="J103" s="23"/>
    </row>
  </sheetData>
  <sheetProtection selectLockedCells="1" selectUnlockedCells="1"/>
  <mergeCells count="2">
    <mergeCell ref="A1:I1"/>
    <mergeCell ref="A7:I7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tabSelected="1" zoomScaleNormal="100" workbookViewId="0">
      <selection activeCell="L3" sqref="L3"/>
    </sheetView>
  </sheetViews>
  <sheetFormatPr defaultColWidth="11.5703125" defaultRowHeight="12.75" x14ac:dyDescent="0.2"/>
  <cols>
    <col min="1" max="1" width="11.42578125" customWidth="1"/>
    <col min="4" max="4" width="11.5703125" style="51"/>
  </cols>
  <sheetData>
    <row r="1" spans="1:17" ht="26.45" customHeight="1" x14ac:dyDescent="0.2">
      <c r="A1" s="52" t="s">
        <v>19</v>
      </c>
      <c r="B1" s="52"/>
      <c r="C1" s="52"/>
      <c r="D1" s="52"/>
      <c r="E1" s="52"/>
      <c r="F1" s="52"/>
      <c r="G1" s="52"/>
      <c r="H1" s="53" t="s">
        <v>59</v>
      </c>
      <c r="I1" s="53"/>
      <c r="J1" s="53"/>
      <c r="K1" s="53"/>
      <c r="L1" s="53"/>
      <c r="M1" s="53"/>
      <c r="N1" s="53"/>
      <c r="O1" s="53"/>
      <c r="P1" s="53"/>
      <c r="Q1" s="53"/>
    </row>
    <row r="2" spans="1:17" ht="26.25" customHeight="1" x14ac:dyDescent="0.2">
      <c r="D2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38.25" x14ac:dyDescent="0.2">
      <c r="B3" s="6" t="s">
        <v>12</v>
      </c>
      <c r="C3" s="47" t="s">
        <v>21</v>
      </c>
      <c r="D3" s="50"/>
    </row>
    <row r="4" spans="1:17" x14ac:dyDescent="0.2">
      <c r="B4" s="1">
        <v>9.39</v>
      </c>
      <c r="C4" s="48">
        <v>465.3142857142858</v>
      </c>
    </row>
    <row r="5" spans="1:17" x14ac:dyDescent="0.2">
      <c r="B5" s="1">
        <v>2.4700000000000002</v>
      </c>
      <c r="C5" s="48">
        <v>359.17142857142858</v>
      </c>
    </row>
    <row r="6" spans="1:17" x14ac:dyDescent="0.2">
      <c r="B6" s="1">
        <v>6.4</v>
      </c>
      <c r="C6" s="48">
        <v>432.6571428571429</v>
      </c>
    </row>
    <row r="7" spans="1:17" x14ac:dyDescent="0.2">
      <c r="B7" s="1">
        <v>2.71</v>
      </c>
      <c r="C7" s="48">
        <v>400</v>
      </c>
    </row>
    <row r="8" spans="1:17" x14ac:dyDescent="0.2">
      <c r="B8" s="1">
        <v>1.92</v>
      </c>
      <c r="C8" s="48">
        <v>400</v>
      </c>
    </row>
    <row r="9" spans="1:17" x14ac:dyDescent="0.2">
      <c r="B9" s="1">
        <v>2.2400000000000002</v>
      </c>
      <c r="C9" s="48">
        <v>318.37142857142862</v>
      </c>
    </row>
    <row r="10" spans="1:17" x14ac:dyDescent="0.2">
      <c r="B10" s="1">
        <v>3.78</v>
      </c>
      <c r="C10" s="48">
        <v>391.82857142857142</v>
      </c>
    </row>
    <row r="11" spans="1:17" x14ac:dyDescent="0.2">
      <c r="B11" s="1">
        <v>10.75</v>
      </c>
      <c r="C11" s="48">
        <v>375.51428571428573</v>
      </c>
    </row>
    <row r="12" spans="1:17" x14ac:dyDescent="0.2">
      <c r="B12" s="1">
        <v>2.74</v>
      </c>
      <c r="C12" s="48">
        <v>473.45714285714291</v>
      </c>
    </row>
    <row r="13" spans="1:17" x14ac:dyDescent="0.2">
      <c r="B13" s="1">
        <v>5.34</v>
      </c>
      <c r="C13" s="48">
        <v>416.31428571428575</v>
      </c>
    </row>
    <row r="14" spans="1:17" x14ac:dyDescent="0.2">
      <c r="B14" s="1">
        <v>8.41</v>
      </c>
      <c r="C14" s="48">
        <v>400</v>
      </c>
    </row>
    <row r="15" spans="1:17" x14ac:dyDescent="0.2">
      <c r="B15" s="1">
        <v>7.1</v>
      </c>
      <c r="C15" s="48">
        <v>391.82857142857142</v>
      </c>
    </row>
    <row r="16" spans="1:17" x14ac:dyDescent="0.2">
      <c r="B16" s="1">
        <v>1.81</v>
      </c>
      <c r="C16" s="48">
        <v>473.45714285714291</v>
      </c>
    </row>
    <row r="17" spans="1:4" x14ac:dyDescent="0.2">
      <c r="B17" s="1">
        <v>2.86</v>
      </c>
      <c r="C17" s="48">
        <v>269.40000000000003</v>
      </c>
    </row>
    <row r="19" spans="1:4" ht="38.25" x14ac:dyDescent="0.2">
      <c r="B19" s="6" t="s">
        <v>12</v>
      </c>
      <c r="C19" s="47" t="s">
        <v>10</v>
      </c>
      <c r="D19" s="50"/>
    </row>
    <row r="20" spans="1:4" x14ac:dyDescent="0.2">
      <c r="B20" s="1">
        <v>9.39</v>
      </c>
      <c r="C20" s="49">
        <v>31.4</v>
      </c>
    </row>
    <row r="21" spans="1:4" x14ac:dyDescent="0.2">
      <c r="B21" s="1">
        <v>2.4700000000000002</v>
      </c>
      <c r="C21" s="49">
        <v>27.38</v>
      </c>
    </row>
    <row r="22" spans="1:4" x14ac:dyDescent="0.2">
      <c r="B22" s="1">
        <v>6.4</v>
      </c>
      <c r="C22" s="49">
        <v>29.59</v>
      </c>
    </row>
    <row r="23" spans="1:4" x14ac:dyDescent="0.2">
      <c r="B23" s="1">
        <v>2.71</v>
      </c>
      <c r="C23" s="49">
        <v>26.68</v>
      </c>
    </row>
    <row r="24" spans="1:4" x14ac:dyDescent="0.2">
      <c r="B24" s="1">
        <v>1.92</v>
      </c>
      <c r="C24" s="49">
        <v>25.01</v>
      </c>
    </row>
    <row r="25" spans="1:4" x14ac:dyDescent="0.2">
      <c r="B25" s="1">
        <v>2.2400000000000002</v>
      </c>
      <c r="C25" s="49">
        <v>25.51</v>
      </c>
    </row>
    <row r="26" spans="1:4" x14ac:dyDescent="0.2">
      <c r="B26" s="1">
        <v>3.78</v>
      </c>
      <c r="C26" s="49">
        <v>28.08</v>
      </c>
    </row>
    <row r="27" spans="1:4" x14ac:dyDescent="0.2">
      <c r="B27" s="1">
        <v>10.75</v>
      </c>
      <c r="C27" s="49">
        <v>34.57</v>
      </c>
    </row>
    <row r="28" spans="1:4" x14ac:dyDescent="0.2">
      <c r="B28" s="1">
        <v>2.74</v>
      </c>
      <c r="C28" s="49">
        <v>27.97</v>
      </c>
    </row>
    <row r="29" spans="1:4" x14ac:dyDescent="0.2">
      <c r="B29" s="1">
        <v>5.34</v>
      </c>
      <c r="C29" s="49">
        <v>29.37</v>
      </c>
    </row>
    <row r="30" spans="1:4" x14ac:dyDescent="0.2">
      <c r="B30" s="1">
        <v>8.41</v>
      </c>
      <c r="C30" s="49">
        <v>32.770000000000003</v>
      </c>
    </row>
    <row r="31" spans="1:4" x14ac:dyDescent="0.2">
      <c r="B31" s="1">
        <v>7.1</v>
      </c>
      <c r="C31" s="49">
        <v>32.93</v>
      </c>
    </row>
    <row r="32" spans="1:4" x14ac:dyDescent="0.2">
      <c r="A32" s="2"/>
      <c r="B32" s="1">
        <v>1.81</v>
      </c>
      <c r="C32" s="49">
        <v>25.8</v>
      </c>
    </row>
    <row r="33" spans="2:4" x14ac:dyDescent="0.2">
      <c r="B33" s="1">
        <v>2.86</v>
      </c>
      <c r="C33" s="49">
        <v>27.46</v>
      </c>
    </row>
    <row r="35" spans="2:4" ht="38.25" x14ac:dyDescent="0.2">
      <c r="B35" s="6" t="s">
        <v>12</v>
      </c>
      <c r="C35" s="47" t="s">
        <v>11</v>
      </c>
      <c r="D35" s="50"/>
    </row>
    <row r="36" spans="2:4" x14ac:dyDescent="0.2">
      <c r="B36" s="1">
        <v>9.39</v>
      </c>
      <c r="C36" s="49">
        <v>187.22</v>
      </c>
    </row>
    <row r="37" spans="2:4" x14ac:dyDescent="0.2">
      <c r="B37" s="1">
        <v>2.4700000000000002</v>
      </c>
      <c r="C37" s="49">
        <v>80</v>
      </c>
    </row>
    <row r="38" spans="2:4" x14ac:dyDescent="0.2">
      <c r="B38" s="1">
        <v>6.4</v>
      </c>
      <c r="C38" s="49">
        <v>137.61000000000001</v>
      </c>
    </row>
    <row r="39" spans="2:4" x14ac:dyDescent="0.2">
      <c r="B39" s="1">
        <v>2.71</v>
      </c>
      <c r="C39" s="49">
        <v>83.77</v>
      </c>
    </row>
    <row r="40" spans="2:4" x14ac:dyDescent="0.2">
      <c r="B40" s="1">
        <v>1.92</v>
      </c>
      <c r="C40" s="49">
        <v>73.010000000000005</v>
      </c>
    </row>
    <row r="41" spans="2:4" x14ac:dyDescent="0.2">
      <c r="B41" s="1">
        <v>2.2400000000000002</v>
      </c>
      <c r="C41" s="49">
        <v>71.63</v>
      </c>
    </row>
    <row r="42" spans="2:4" x14ac:dyDescent="0.2">
      <c r="B42" s="1">
        <v>3.78</v>
      </c>
      <c r="C42" s="49">
        <v>106.25</v>
      </c>
    </row>
    <row r="43" spans="2:4" x14ac:dyDescent="0.2">
      <c r="B43" s="1">
        <v>10.75</v>
      </c>
      <c r="C43" s="49">
        <v>192.63</v>
      </c>
    </row>
    <row r="44" spans="2:4" x14ac:dyDescent="0.2">
      <c r="B44" s="1">
        <v>2.74</v>
      </c>
      <c r="C44" s="49">
        <v>107.8</v>
      </c>
    </row>
    <row r="45" spans="2:4" x14ac:dyDescent="0.2">
      <c r="B45" s="1">
        <v>5.34</v>
      </c>
      <c r="C45" s="49">
        <v>116.93</v>
      </c>
    </row>
    <row r="46" spans="2:4" x14ac:dyDescent="0.2">
      <c r="B46" s="1">
        <v>8.41</v>
      </c>
      <c r="C46" s="49">
        <v>146.16</v>
      </c>
    </row>
    <row r="47" spans="2:4" x14ac:dyDescent="0.2">
      <c r="B47" s="1">
        <v>7.1</v>
      </c>
      <c r="C47" s="49">
        <v>152.77000000000001</v>
      </c>
    </row>
    <row r="48" spans="2:4" x14ac:dyDescent="0.2">
      <c r="B48" s="1">
        <v>1.81</v>
      </c>
      <c r="C48" s="49">
        <v>85.49</v>
      </c>
    </row>
    <row r="49" spans="2:3" x14ac:dyDescent="0.2">
      <c r="B49" s="1">
        <v>2.86</v>
      </c>
      <c r="C49" s="49">
        <v>66.84</v>
      </c>
    </row>
  </sheetData>
  <sheetProtection selectLockedCells="1" selectUnlockedCells="1"/>
  <mergeCells count="2">
    <mergeCell ref="A1:G1"/>
    <mergeCell ref="H1:Q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Dados</vt:lpstr>
      <vt:lpstr>1) Estimador de Regressão</vt:lpstr>
      <vt:lpstr>2) Estimadores Regressao x Raza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Lucas</cp:lastModifiedBy>
  <dcterms:created xsi:type="dcterms:W3CDTF">2021-12-04T01:03:51Z</dcterms:created>
  <dcterms:modified xsi:type="dcterms:W3CDTF">2021-12-04T01:13:20Z</dcterms:modified>
</cp:coreProperties>
</file>