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4ae552faf3c29f/Documentos/ESALQ_6Semestre/LCF0510 - Inventário Florestal/"/>
    </mc:Choice>
  </mc:AlternateContent>
  <xr:revisionPtr revIDLastSave="4" documentId="8_{3C38B6FE-A08C-459E-A615-4D104578714D}" xr6:coauthVersionLast="47" xr6:coauthVersionMax="47" xr10:uidLastSave="{29780604-7D20-4234-A93D-CF86720293FC}"/>
  <bookViews>
    <workbookView xWindow="-120" yWindow="-120" windowWidth="20730" windowHeight="11160" tabRatio="501" firstSheet="5" activeTab="7" xr2:uid="{00000000-000D-0000-FFFF-FFFF00000000}"/>
  </bookViews>
  <sheets>
    <sheet name="Exercício 1 - Levantamento em F" sheetId="1" r:id="rId1"/>
    <sheet name="Amostr Aleatória Simples Ex1" sheetId="3" r:id="rId2"/>
    <sheet name="Estimador de Razão Ex1" sheetId="4" r:id="rId3"/>
    <sheet name="Comparação Ex1" sheetId="5" r:id="rId4"/>
    <sheet name="Exercício 2 - Inventário Urbano" sheetId="2" r:id="rId5"/>
    <sheet name="Amostr Aleatória Simples Ex2" sheetId="6" r:id="rId6"/>
    <sheet name="Estimador de Razão Ex2" sheetId="7" r:id="rId7"/>
    <sheet name="~Comparação Ex2" sheetId="8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8" l="1"/>
  <c r="E15" i="8"/>
  <c r="C12" i="8"/>
  <c r="C11" i="8"/>
  <c r="C10" i="8"/>
  <c r="C6" i="8"/>
  <c r="F5" i="8"/>
  <c r="C5" i="8"/>
  <c r="F4" i="8"/>
  <c r="C4" i="8"/>
  <c r="C49" i="7"/>
  <c r="E49" i="7" s="1"/>
  <c r="E48" i="7"/>
  <c r="C6" i="2"/>
  <c r="C7" i="2"/>
  <c r="K52" i="7" s="1"/>
  <c r="C8" i="2"/>
  <c r="L53" i="7" s="1"/>
  <c r="C9" i="2"/>
  <c r="K54" i="7" s="1"/>
  <c r="C10" i="2"/>
  <c r="L55" i="7" s="1"/>
  <c r="C11" i="2"/>
  <c r="K56" i="7" s="1"/>
  <c r="C12" i="2"/>
  <c r="L57" i="7" s="1"/>
  <c r="C13" i="2"/>
  <c r="L58" i="7" s="1"/>
  <c r="C14" i="2"/>
  <c r="K59" i="7" s="1"/>
  <c r="C15" i="2"/>
  <c r="L60" i="7" s="1"/>
  <c r="C16" i="2"/>
  <c r="L61" i="7" s="1"/>
  <c r="C17" i="2"/>
  <c r="L62" i="7" s="1"/>
  <c r="C18" i="2"/>
  <c r="K63" i="7" s="1"/>
  <c r="C19" i="2"/>
  <c r="K64" i="7" s="1"/>
  <c r="C20" i="2"/>
  <c r="L65" i="7" s="1"/>
  <c r="C21" i="2"/>
  <c r="L66" i="7" s="1"/>
  <c r="C22" i="2"/>
  <c r="K67" i="7" s="1"/>
  <c r="C23" i="2"/>
  <c r="L68" i="7" s="1"/>
  <c r="C24" i="2"/>
  <c r="L69" i="7" s="1"/>
  <c r="C25" i="2"/>
  <c r="L70" i="7" s="1"/>
  <c r="C26" i="2"/>
  <c r="K71" i="7" s="1"/>
  <c r="C27" i="2"/>
  <c r="L72" i="7" s="1"/>
  <c r="C28" i="2"/>
  <c r="L73" i="7" s="1"/>
  <c r="C29" i="2"/>
  <c r="L74" i="7" s="1"/>
  <c r="C30" i="2"/>
  <c r="K75" i="7" s="1"/>
  <c r="C31" i="2"/>
  <c r="L76" i="7" s="1"/>
  <c r="C32" i="2"/>
  <c r="L77" i="7" s="1"/>
  <c r="C33" i="2"/>
  <c r="L78" i="7" s="1"/>
  <c r="C34" i="2"/>
  <c r="K79" i="7" s="1"/>
  <c r="C35" i="2"/>
  <c r="K80" i="7" s="1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51" i="7"/>
  <c r="C54" i="7"/>
  <c r="C71" i="7"/>
  <c r="E3" i="7"/>
  <c r="C4" i="7"/>
  <c r="E4" i="7" s="1"/>
  <c r="D68" i="4"/>
  <c r="C65" i="4"/>
  <c r="C54" i="4"/>
  <c r="C2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6" i="7"/>
  <c r="K35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6" i="7"/>
  <c r="C10" i="7"/>
  <c r="C14" i="7" s="1"/>
  <c r="C9" i="7"/>
  <c r="D25" i="6"/>
  <c r="D26" i="6"/>
  <c r="D27" i="6"/>
  <c r="D24" i="6"/>
  <c r="C21" i="6"/>
  <c r="K16" i="6"/>
  <c r="K13" i="6"/>
  <c r="K15" i="6" s="1"/>
  <c r="K10" i="6"/>
  <c r="K9" i="6"/>
  <c r="F16" i="6"/>
  <c r="F15" i="6"/>
  <c r="F13" i="6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6" i="2"/>
  <c r="E6" i="6"/>
  <c r="E5" i="6"/>
  <c r="C6" i="6"/>
  <c r="E4" i="6"/>
  <c r="E3" i="6"/>
  <c r="F10" i="6"/>
  <c r="F9" i="6"/>
  <c r="Q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6" i="2"/>
  <c r="J6" i="2" s="1"/>
  <c r="C11" i="6"/>
  <c r="C12" i="6" s="1"/>
  <c r="C10" i="6"/>
  <c r="C9" i="6"/>
  <c r="C4" i="6"/>
  <c r="H31" i="5"/>
  <c r="D19" i="3"/>
  <c r="F36" i="3" s="1"/>
  <c r="D18" i="3"/>
  <c r="H32" i="5"/>
  <c r="C49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23" i="4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C18" i="4"/>
  <c r="C17" i="4"/>
  <c r="C20" i="4" s="1"/>
  <c r="D20" i="3"/>
  <c r="D21" i="3" s="1"/>
  <c r="K69" i="7" l="1"/>
  <c r="K61" i="7"/>
  <c r="L52" i="7"/>
  <c r="K53" i="7"/>
  <c r="K77" i="7"/>
  <c r="C61" i="7"/>
  <c r="K68" i="7"/>
  <c r="L56" i="7"/>
  <c r="K60" i="7"/>
  <c r="K57" i="7"/>
  <c r="K76" i="7"/>
  <c r="K73" i="7"/>
  <c r="J14" i="2"/>
  <c r="K70" i="7"/>
  <c r="L51" i="7"/>
  <c r="K51" i="7"/>
  <c r="K55" i="7"/>
  <c r="L63" i="7"/>
  <c r="K62" i="7"/>
  <c r="L54" i="7"/>
  <c r="K78" i="7"/>
  <c r="L80" i="7"/>
  <c r="K72" i="7"/>
  <c r="L79" i="7"/>
  <c r="L64" i="7"/>
  <c r="L71" i="7"/>
  <c r="K58" i="7"/>
  <c r="K66" i="7"/>
  <c r="K74" i="7"/>
  <c r="K65" i="7"/>
  <c r="C55" i="7"/>
  <c r="C59" i="7" s="1"/>
  <c r="L75" i="7"/>
  <c r="L67" i="7"/>
  <c r="L59" i="7"/>
  <c r="C17" i="7"/>
  <c r="C18" i="7"/>
  <c r="C16" i="7"/>
  <c r="C21" i="7" s="1"/>
  <c r="C27" i="7" s="1"/>
  <c r="C31" i="7" s="1"/>
  <c r="C32" i="7" s="1"/>
  <c r="I11" i="7"/>
  <c r="I19" i="7"/>
  <c r="I27" i="7"/>
  <c r="I35" i="7"/>
  <c r="I29" i="7"/>
  <c r="I22" i="7"/>
  <c r="I12" i="7"/>
  <c r="I20" i="7"/>
  <c r="I28" i="7"/>
  <c r="I6" i="7"/>
  <c r="I21" i="7"/>
  <c r="I14" i="7"/>
  <c r="I13" i="7"/>
  <c r="I30" i="7"/>
  <c r="C25" i="7"/>
  <c r="I7" i="7"/>
  <c r="I15" i="7"/>
  <c r="I23" i="7"/>
  <c r="I31" i="7"/>
  <c r="I8" i="7"/>
  <c r="I16" i="7"/>
  <c r="I24" i="7"/>
  <c r="I32" i="7"/>
  <c r="I9" i="7"/>
  <c r="I17" i="7"/>
  <c r="I25" i="7"/>
  <c r="I33" i="7"/>
  <c r="I10" i="7"/>
  <c r="I18" i="7"/>
  <c r="I26" i="7"/>
  <c r="I34" i="7"/>
  <c r="C13" i="6"/>
  <c r="C15" i="6" s="1"/>
  <c r="C16" i="6" s="1"/>
  <c r="I33" i="4"/>
  <c r="I25" i="4"/>
  <c r="I36" i="4"/>
  <c r="I35" i="4"/>
  <c r="I32" i="4"/>
  <c r="I24" i="4"/>
  <c r="I28" i="4"/>
  <c r="I27" i="4"/>
  <c r="I34" i="4"/>
  <c r="I39" i="4"/>
  <c r="I31" i="4"/>
  <c r="I23" i="4"/>
  <c r="I26" i="4"/>
  <c r="I38" i="4"/>
  <c r="I30" i="4"/>
  <c r="I29" i="4"/>
  <c r="I37" i="4"/>
  <c r="C47" i="4"/>
  <c r="C34" i="4"/>
  <c r="C32" i="4"/>
  <c r="C33" i="4"/>
  <c r="D22" i="3"/>
  <c r="G42" i="3"/>
  <c r="G39" i="3"/>
  <c r="G40" i="3"/>
  <c r="G41" i="3"/>
  <c r="D24" i="3"/>
  <c r="D25" i="3" s="1"/>
  <c r="C70" i="7" l="1"/>
  <c r="C20" i="8"/>
  <c r="C62" i="7"/>
  <c r="I76" i="7"/>
  <c r="I64" i="7"/>
  <c r="I52" i="7"/>
  <c r="I78" i="7"/>
  <c r="I72" i="7"/>
  <c r="I53" i="7"/>
  <c r="I51" i="7"/>
  <c r="I66" i="7"/>
  <c r="I55" i="7"/>
  <c r="I65" i="7"/>
  <c r="I77" i="7"/>
  <c r="I74" i="7"/>
  <c r="I79" i="7"/>
  <c r="I73" i="7"/>
  <c r="I75" i="7"/>
  <c r="C63" i="7"/>
  <c r="I54" i="7"/>
  <c r="I62" i="7"/>
  <c r="I60" i="7"/>
  <c r="I56" i="7"/>
  <c r="I58" i="7"/>
  <c r="I68" i="7"/>
  <c r="I70" i="7"/>
  <c r="I63" i="7"/>
  <c r="I80" i="7"/>
  <c r="I59" i="7"/>
  <c r="I61" i="7"/>
  <c r="I57" i="7"/>
  <c r="I67" i="7"/>
  <c r="I69" i="7"/>
  <c r="I71" i="7"/>
  <c r="C20" i="7"/>
  <c r="C37" i="7" s="1"/>
  <c r="D40" i="7" s="1"/>
  <c r="C36" i="4"/>
  <c r="C37" i="4"/>
  <c r="C66" i="7" l="1"/>
  <c r="C72" i="7" s="1"/>
  <c r="C65" i="7"/>
  <c r="C82" i="7" s="1"/>
  <c r="D86" i="7" s="1"/>
  <c r="D41" i="7"/>
  <c r="D42" i="7"/>
  <c r="D43" i="7"/>
  <c r="C50" i="4"/>
  <c r="C55" i="4" s="1"/>
  <c r="C76" i="7" l="1"/>
  <c r="C77" i="7" s="1"/>
  <c r="C21" i="8"/>
  <c r="E25" i="8" s="1"/>
  <c r="D85" i="7"/>
  <c r="D88" i="7"/>
  <c r="C22" i="8" s="1"/>
  <c r="E26" i="8" s="1"/>
  <c r="D87" i="7"/>
  <c r="D69" i="4"/>
  <c r="D71" i="4"/>
  <c r="D70" i="4"/>
</calcChain>
</file>

<file path=xl/sharedStrings.xml><?xml version="1.0" encoding="utf-8"?>
<sst xmlns="http://schemas.openxmlformats.org/spreadsheetml/2006/main" count="360" uniqueCount="159">
  <si>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</si>
  <si>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</si>
  <si>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</si>
  <si>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</si>
  <si>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</si>
  <si>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</si>
  <si>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</si>
  <si>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</si>
  <si>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</si>
  <si>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</si>
  <si>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</si>
  <si>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Número de Árvores na Quadra</t>
  </si>
  <si>
    <t>Informações sobre o bairro:</t>
  </si>
  <si>
    <t>(i) Perímetro total das quadras no bairro = 157.907,9 m</t>
  </si>
  <si>
    <t>(ii) Área total das quadras no bairro = 5.079.953 m2</t>
  </si>
  <si>
    <t>Comparação</t>
  </si>
  <si>
    <t>Área da Florestal</t>
  </si>
  <si>
    <t>S=</t>
  </si>
  <si>
    <t>ha</t>
  </si>
  <si>
    <t>Eixo de alinha das parcelas em faixa</t>
  </si>
  <si>
    <t>m</t>
  </si>
  <si>
    <t>Tamanho Médio de parcelas de 10m</t>
  </si>
  <si>
    <t>Número de Parcelas em faixa</t>
  </si>
  <si>
    <t>N =</t>
  </si>
  <si>
    <t>Número de Árvores (Y)</t>
  </si>
  <si>
    <t>Média</t>
  </si>
  <si>
    <t>Variância</t>
  </si>
  <si>
    <t>Tamanho da Amostra</t>
  </si>
  <si>
    <t xml:space="preserve">Variância da Média </t>
  </si>
  <si>
    <t>Estatística t</t>
  </si>
  <si>
    <t>Erro Amostral</t>
  </si>
  <si>
    <t>Erro Amostral %</t>
  </si>
  <si>
    <t>mu =</t>
  </si>
  <si>
    <t>s^2 =</t>
  </si>
  <si>
    <t>n =</t>
  </si>
  <si>
    <t>Var(mu) =</t>
  </si>
  <si>
    <t>t =</t>
  </si>
  <si>
    <t>%</t>
  </si>
  <si>
    <t>Tamanho da Amostra para Erro Amostral</t>
  </si>
  <si>
    <t>E_% =</t>
  </si>
  <si>
    <t>V% =</t>
  </si>
  <si>
    <t>Iteração</t>
  </si>
  <si>
    <t>t</t>
  </si>
  <si>
    <t>n*</t>
  </si>
  <si>
    <t>W =</t>
  </si>
  <si>
    <t>X = Área da Parcela (ha)</t>
  </si>
  <si>
    <t>Y = Número de Árvores</t>
  </si>
  <si>
    <t>Tamanho de Amostra</t>
  </si>
  <si>
    <t>Média Amostrais</t>
  </si>
  <si>
    <t>Estimador de Razão</t>
  </si>
  <si>
    <t>Variância Populacional</t>
  </si>
  <si>
    <t>É o próprio estimador de razão</t>
  </si>
  <si>
    <t>Variância da Razão</t>
  </si>
  <si>
    <t>Cor. Pop. Finita =</t>
  </si>
  <si>
    <t>Erro Amostra</t>
  </si>
  <si>
    <t>Erro Amostra %</t>
  </si>
  <si>
    <t>Tamanho de Amostra Para Erro Amostral</t>
  </si>
  <si>
    <t xml:space="preserve">V_% = </t>
  </si>
  <si>
    <t>Estimador da Quantidade de Árvores da Floresta</t>
  </si>
  <si>
    <r>
      <rPr>
        <vertAlign val="subscript"/>
        <sz val="10"/>
        <rFont val="Arial"/>
        <family val="2"/>
      </rPr>
      <t>tau_x</t>
    </r>
    <r>
      <rPr>
        <sz val="10"/>
        <rFont val="Arial"/>
        <family val="2"/>
        <charset val="1"/>
      </rPr>
      <t xml:space="preserve"> =</t>
    </r>
  </si>
  <si>
    <r>
      <rPr>
        <vertAlign val="subscript"/>
        <sz val="10"/>
        <rFont val="Arial"/>
        <family val="2"/>
      </rPr>
      <t>mu_x</t>
    </r>
    <r>
      <rPr>
        <sz val="10"/>
        <rFont val="Arial"/>
        <family val="2"/>
        <charset val="1"/>
      </rPr>
      <t xml:space="preserve"> =</t>
    </r>
  </si>
  <si>
    <t>n=</t>
  </si>
  <si>
    <t>mu_y=</t>
  </si>
  <si>
    <t>mu_x=</t>
  </si>
  <si>
    <t>árvores</t>
  </si>
  <si>
    <t>R=</t>
  </si>
  <si>
    <t>árvores/há</t>
  </si>
  <si>
    <t>Árvores/Hecatre</t>
  </si>
  <si>
    <t>(Y-RX)²</t>
  </si>
  <si>
    <t>Y²</t>
  </si>
  <si>
    <t>X²</t>
  </si>
  <si>
    <t>YX</t>
  </si>
  <si>
    <t>Soma (Y²)=</t>
  </si>
  <si>
    <t>Soma (X²)=</t>
  </si>
  <si>
    <t>Soma (YX)=</t>
  </si>
  <si>
    <t>s²R=</t>
  </si>
  <si>
    <t>Var (R)=</t>
  </si>
  <si>
    <t>(árvores/hectare)²</t>
  </si>
  <si>
    <t>t=</t>
  </si>
  <si>
    <t>Estimador Padrão da Amostragem Aleatória Simples</t>
  </si>
  <si>
    <t>Variância da Média</t>
  </si>
  <si>
    <t>Tamanho da Amostra p/ Erro de 5%</t>
  </si>
  <si>
    <t>mu=</t>
  </si>
  <si>
    <t>n*=</t>
  </si>
  <si>
    <t>Var(mu)=</t>
  </si>
  <si>
    <t>Razão das Variâncias da Média</t>
  </si>
  <si>
    <t>Razão dos Tamanhos de Amostra p/ E=5%</t>
  </si>
  <si>
    <t>n*R/n* * 100 =</t>
  </si>
  <si>
    <t>árvores/ha</t>
  </si>
  <si>
    <t>(árvores/ha)²</t>
  </si>
  <si>
    <t>Var(um_R)/Var(um) =</t>
  </si>
  <si>
    <t>Estimadores Padrão da Amostragem Aleatória Simples</t>
  </si>
  <si>
    <t>Número Total de Quadras</t>
  </si>
  <si>
    <t>Perímetro Total das Quadras</t>
  </si>
  <si>
    <t>Tamanho Médio das Quadras</t>
  </si>
  <si>
    <t>Número de Árvores por Quadra</t>
  </si>
  <si>
    <t>árvores/Km</t>
  </si>
  <si>
    <t>(árvores/Km)^2</t>
  </si>
  <si>
    <t>Correção p/ Pop. Finita</t>
  </si>
  <si>
    <t>Correcao =</t>
  </si>
  <si>
    <t>E.A. =</t>
  </si>
  <si>
    <t>Erro Amostra l%</t>
  </si>
  <si>
    <t>E.A.% =</t>
  </si>
  <si>
    <t>Área da Quadra em Km2</t>
  </si>
  <si>
    <t>Correção para Pop. Fin.</t>
  </si>
  <si>
    <t>CpPF =</t>
  </si>
  <si>
    <t>Perímetro da Quadra em Km</t>
  </si>
  <si>
    <t>Número de Árvores por Km de Via Pública</t>
  </si>
  <si>
    <t>Número de Árvores por Km² de Via Pública</t>
  </si>
  <si>
    <t>Área Total das Quadras</t>
  </si>
  <si>
    <r>
      <t>Tau_x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  <charset val="1"/>
      </rPr>
      <t xml:space="preserve"> =</t>
    </r>
  </si>
  <si>
    <r>
      <t>mu_x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  <charset val="1"/>
      </rPr>
      <t xml:space="preserve"> =</t>
    </r>
  </si>
  <si>
    <r>
      <t>Tau_x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  <charset val="1"/>
      </rPr>
      <t xml:space="preserve"> =</t>
    </r>
  </si>
  <si>
    <r>
      <t>mu_x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  <charset val="1"/>
      </rPr>
      <t xml:space="preserve"> =</t>
    </r>
  </si>
  <si>
    <t>m =</t>
  </si>
  <si>
    <t>Km</t>
  </si>
  <si>
    <t>Km²</t>
  </si>
  <si>
    <t>N° de árvore/Km</t>
  </si>
  <si>
    <t>N° de árvore/Km²</t>
  </si>
  <si>
    <t>árvores/Km²</t>
  </si>
  <si>
    <t>(árvores/Km²)^2</t>
  </si>
  <si>
    <r>
      <t>árvores/Km</t>
    </r>
    <r>
      <rPr>
        <b/>
        <sz val="10"/>
        <rFont val="Arial"/>
        <family val="2"/>
      </rPr>
      <t>²</t>
    </r>
  </si>
  <si>
    <t>Quadra</t>
  </si>
  <si>
    <t>y_i^2</t>
  </si>
  <si>
    <t>mu_y =</t>
  </si>
  <si>
    <t>arvores</t>
  </si>
  <si>
    <t>R =</t>
  </si>
  <si>
    <t>arvores/Km</t>
  </si>
  <si>
    <t>Soma(y_i^2) =</t>
  </si>
  <si>
    <t>Soma(x_i^2) =</t>
  </si>
  <si>
    <t>Soma(x_i y_i) =</t>
  </si>
  <si>
    <t>s^2_R =</t>
  </si>
  <si>
    <t>Estimador do Número Médio de Árvores por Kilometro de Perímetro de Quadra</t>
  </si>
  <si>
    <t>É o próprio estimador de razão (mu_R = R)</t>
  </si>
  <si>
    <t>Correção para População Finita</t>
  </si>
  <si>
    <t>correcao =</t>
  </si>
  <si>
    <t>Variância do Estimador</t>
  </si>
  <si>
    <t>Var( R ) =</t>
  </si>
  <si>
    <t>(arvores/Km)^2</t>
  </si>
  <si>
    <t>E.A. % =</t>
  </si>
  <si>
    <r>
      <t>(y_i – R x</t>
    </r>
    <r>
      <rPr>
        <b/>
        <vertAlign val="subscript"/>
        <sz val="9"/>
        <rFont val="Verdana"/>
        <family val="2"/>
      </rPr>
      <t>a</t>
    </r>
    <r>
      <rPr>
        <b/>
        <sz val="9"/>
        <rFont val="Verdana"/>
        <family val="2"/>
        <charset val="1"/>
      </rPr>
      <t>_i)^2</t>
    </r>
  </si>
  <si>
    <r>
      <t>x</t>
    </r>
    <r>
      <rPr>
        <b/>
        <vertAlign val="subscript"/>
        <sz val="9"/>
        <rFont val="Verdana"/>
        <family val="2"/>
      </rPr>
      <t>a</t>
    </r>
    <r>
      <rPr>
        <b/>
        <sz val="9"/>
        <rFont val="Verdana"/>
        <family val="2"/>
        <charset val="1"/>
      </rPr>
      <t>_i^2</t>
    </r>
  </si>
  <si>
    <r>
      <t>x</t>
    </r>
    <r>
      <rPr>
        <b/>
        <vertAlign val="subscript"/>
        <sz val="9"/>
        <rFont val="Verdana"/>
        <family val="2"/>
      </rPr>
      <t>a</t>
    </r>
    <r>
      <rPr>
        <b/>
        <sz val="9"/>
        <rFont val="Verdana"/>
        <family val="2"/>
        <charset val="1"/>
      </rPr>
      <t>_i y_i</t>
    </r>
  </si>
  <si>
    <t>A) Estimadores de Razão na Amostragem Aleatória Simples</t>
  </si>
  <si>
    <t>B) Estimadores de Razão na Amostragem Aleatória Simples</t>
  </si>
  <si>
    <r>
      <t>(y_i – R x</t>
    </r>
    <r>
      <rPr>
        <b/>
        <vertAlign val="subscript"/>
        <sz val="9"/>
        <rFont val="Verdana"/>
        <family val="2"/>
      </rPr>
      <t>b</t>
    </r>
    <r>
      <rPr>
        <b/>
        <sz val="9"/>
        <rFont val="Verdana"/>
        <family val="2"/>
        <charset val="1"/>
      </rPr>
      <t>_i)^2</t>
    </r>
  </si>
  <si>
    <r>
      <t>x</t>
    </r>
    <r>
      <rPr>
        <b/>
        <vertAlign val="subscript"/>
        <sz val="9"/>
        <rFont val="Verdana"/>
        <family val="2"/>
      </rPr>
      <t>b</t>
    </r>
    <r>
      <rPr>
        <b/>
        <sz val="9"/>
        <rFont val="Verdana"/>
        <family val="2"/>
        <charset val="1"/>
      </rPr>
      <t>_i^2</t>
    </r>
  </si>
  <si>
    <r>
      <t>x</t>
    </r>
    <r>
      <rPr>
        <b/>
        <vertAlign val="subscript"/>
        <sz val="9"/>
        <rFont val="Verdana"/>
        <family val="2"/>
      </rPr>
      <t>b</t>
    </r>
    <r>
      <rPr>
        <b/>
        <sz val="9"/>
        <rFont val="Verdana"/>
        <family val="2"/>
        <charset val="1"/>
      </rPr>
      <t>_i y_i</t>
    </r>
  </si>
  <si>
    <r>
      <t>X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  <charset val="1"/>
      </rPr>
      <t xml:space="preserve"> = Área da Quadra (Km²)</t>
    </r>
  </si>
  <si>
    <r>
      <t>X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  <charset val="1"/>
      </rPr>
      <t xml:space="preserve"> = Perímetro da Quadra (Km)</t>
    </r>
  </si>
  <si>
    <t>arvores/Km²</t>
  </si>
  <si>
    <t>Número Médio de Árvores em Vias Públicas num Bairro</t>
  </si>
  <si>
    <t>árvores/quadra</t>
  </si>
  <si>
    <t>(árvores/quadra)^2</t>
  </si>
  <si>
    <t>'n* =</t>
  </si>
  <si>
    <t>Var(mu_R) / Var(mu) * 100 =</t>
  </si>
  <si>
    <t>n*_R / n* * 100 =</t>
  </si>
  <si>
    <t>A) Estimador de Razão</t>
  </si>
  <si>
    <t>B) Estimador de Razão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</si>
</sst>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"/>
    <numFmt numFmtId="165" formatCode="#,##0.000"/>
    <numFmt numFmtId="166" formatCode="#,##0_);[Red]\(#,##0\)"/>
    <numFmt numFmtId="167" formatCode="#,##0.0000"/>
    <numFmt numFmtId="168" formatCode="0.0"/>
    <numFmt numFmtId="169" formatCode="#,##0.00000"/>
    <numFmt numFmtId="170" formatCode="0.00000"/>
    <numFmt numFmtId="171" formatCode="#,##0.000000"/>
    <numFmt numFmtId="172" formatCode="#,##0.0000000"/>
    <numFmt numFmtId="173" formatCode="#,###.00000"/>
  </numFmts>
  <fonts count="15" x14ac:knownFonts="1">
    <font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  <charset val="1"/>
    </font>
    <font>
      <sz val="10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i/>
      <sz val="12"/>
      <color indexed="60"/>
      <name val="Arial"/>
      <family val="2"/>
      <charset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9"/>
      <name val="Verdana"/>
      <family val="2"/>
      <charset val="1"/>
    </font>
    <font>
      <b/>
      <i/>
      <sz val="11"/>
      <color indexed="60"/>
      <name val="Arial"/>
      <family val="2"/>
      <charset val="1"/>
    </font>
    <font>
      <b/>
      <vertAlign val="subscript"/>
      <sz val="9"/>
      <name val="Verdana"/>
      <family val="2"/>
    </font>
    <font>
      <i/>
      <sz val="10"/>
      <color indexed="60"/>
      <name val="Arial"/>
      <family val="2"/>
      <charset val="1"/>
    </font>
    <font>
      <i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166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applyNumberFormat="1"/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Fill="1" applyBorder="1"/>
    <xf numFmtId="0" fontId="7" fillId="0" borderId="0" xfId="0" applyFont="1"/>
    <xf numFmtId="164" fontId="0" fillId="0" borderId="0" xfId="0" applyNumberFormat="1"/>
    <xf numFmtId="168" fontId="0" fillId="0" borderId="0" xfId="0" applyNumberFormat="1"/>
    <xf numFmtId="169" fontId="0" fillId="0" borderId="0" xfId="0" applyNumberFormat="1"/>
    <xf numFmtId="4" fontId="0" fillId="0" borderId="0" xfId="0" applyNumberFormat="1"/>
    <xf numFmtId="170" fontId="0" fillId="0" borderId="0" xfId="0" applyNumberFormat="1"/>
    <xf numFmtId="3" fontId="0" fillId="0" borderId="0" xfId="0" applyNumberFormat="1"/>
    <xf numFmtId="1" fontId="0" fillId="0" borderId="0" xfId="0" applyNumberFormat="1"/>
    <xf numFmtId="0" fontId="8" fillId="0" borderId="0" xfId="0" applyFont="1" applyAlignment="1">
      <alignment horizontal="left" vertical="center" indent="4"/>
    </xf>
    <xf numFmtId="0" fontId="0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indent="4"/>
    </xf>
    <xf numFmtId="171" fontId="0" fillId="0" borderId="0" xfId="0" applyNumberFormat="1"/>
    <xf numFmtId="172" fontId="0" fillId="0" borderId="0" xfId="0" applyNumberFormat="1"/>
    <xf numFmtId="0" fontId="11" fillId="0" borderId="0" xfId="0" applyFont="1"/>
    <xf numFmtId="167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center"/>
    </xf>
    <xf numFmtId="171" fontId="10" fillId="0" borderId="1" xfId="0" applyNumberFormat="1" applyFont="1" applyBorder="1" applyAlignment="1">
      <alignment horizontal="center"/>
    </xf>
    <xf numFmtId="171" fontId="0" fillId="0" borderId="1" xfId="0" applyNumberFormat="1" applyBorder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13" fillId="0" borderId="0" xfId="0" applyFont="1"/>
    <xf numFmtId="173" fontId="0" fillId="0" borderId="0" xfId="0" applyNumberForma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161924</xdr:rowOff>
    </xdr:from>
    <xdr:to>
      <xdr:col>10</xdr:col>
      <xdr:colOff>371475</xdr:colOff>
      <xdr:row>10</xdr:row>
      <xdr:rowOff>57149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83D0AE8-636E-4EEA-9524-C49A2C7A1F05}"/>
            </a:ext>
          </a:extLst>
        </xdr:cNvPr>
        <xdr:cNvSpPr/>
      </xdr:nvSpPr>
      <xdr:spPr>
        <a:xfrm>
          <a:off x="4838700" y="1209674"/>
          <a:ext cx="3019425" cy="1190625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Primeiramente, para que possamos realizar uma Amostragem Aleatória SImples sobre o número médio de árvores por hectare, precisamos primeira criar uma nova coluna na tabela com o número de árvores por hectare presente em cada parcela analisada.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38101</xdr:rowOff>
    </xdr:from>
    <xdr:to>
      <xdr:col>9</xdr:col>
      <xdr:colOff>438150</xdr:colOff>
      <xdr:row>5</xdr:row>
      <xdr:rowOff>38100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BDB3811-2905-476D-84C6-92482C4DE289}"/>
            </a:ext>
          </a:extLst>
        </xdr:cNvPr>
        <xdr:cNvSpPr/>
      </xdr:nvSpPr>
      <xdr:spPr>
        <a:xfrm>
          <a:off x="3524250" y="38101"/>
          <a:ext cx="2514600" cy="809624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Para a Amostragem Aleatória SImples, precisamos de certas informações da floresta. Principalmente o número de parcelas em faixa, o "N".</a:t>
          </a:r>
        </a:p>
      </xdr:txBody>
    </xdr:sp>
    <xdr:clientData/>
  </xdr:twoCellAnchor>
  <xdr:twoCellAnchor>
    <xdr:from>
      <xdr:col>0</xdr:col>
      <xdr:colOff>95250</xdr:colOff>
      <xdr:row>7</xdr:row>
      <xdr:rowOff>104775</xdr:rowOff>
    </xdr:from>
    <xdr:to>
      <xdr:col>6</xdr:col>
      <xdr:colOff>190501</xdr:colOff>
      <xdr:row>15</xdr:row>
      <xdr:rowOff>133350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E3493FB-DBE3-48AA-9D8F-0B93D3922015}"/>
            </a:ext>
          </a:extLst>
        </xdr:cNvPr>
        <xdr:cNvSpPr/>
      </xdr:nvSpPr>
      <xdr:spPr>
        <a:xfrm>
          <a:off x="95250" y="1238250"/>
          <a:ext cx="3867151" cy="132397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Agora,</a:t>
          </a:r>
          <a:r>
            <a:rPr lang="pt-BR" sz="1100" baseline="0"/>
            <a:t> fazemos certas medições acerca dos valores de quantidade de árvores por hectare em cada parcela para que possamos realizar a amostragem. São elas; a média, a variância, o tamanho da nossa amostra, a correção para população finita, a variância da média, a estatística T com base no tamanho da amostra e o erro amostral, tanto em sua forma decimal quanto na forma de porcentagem</a:t>
          </a:r>
          <a:endParaRPr lang="pt-BR" sz="1100"/>
        </a:p>
      </xdr:txBody>
    </xdr:sp>
    <xdr:clientData/>
  </xdr:twoCellAnchor>
  <xdr:twoCellAnchor>
    <xdr:from>
      <xdr:col>0</xdr:col>
      <xdr:colOff>57150</xdr:colOff>
      <xdr:row>27</xdr:row>
      <xdr:rowOff>123825</xdr:rowOff>
    </xdr:from>
    <xdr:to>
      <xdr:col>6</xdr:col>
      <xdr:colOff>152401</xdr:colOff>
      <xdr:row>32</xdr:row>
      <xdr:rowOff>123825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0CE14B2-9FBC-4392-805A-580A4A8AD8D9}"/>
            </a:ext>
          </a:extLst>
        </xdr:cNvPr>
        <xdr:cNvSpPr/>
      </xdr:nvSpPr>
      <xdr:spPr>
        <a:xfrm>
          <a:off x="57150" y="4495800"/>
          <a:ext cx="3867151" cy="8096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Por</a:t>
          </a:r>
          <a:r>
            <a:rPr lang="pt-BR" sz="1100" baseline="0"/>
            <a:t> fim, tendo em vista o erro amostral presente, calculamos o V%, para podermos realizar iterações com o objetivo de acharmos a quantidade de parcelas necessária para que consigamos ter um erro amostral específico; nesse caso de 5%.</a:t>
          </a:r>
          <a:endParaRPr lang="pt-BR" sz="1100"/>
        </a:p>
      </xdr:txBody>
    </xdr:sp>
    <xdr:clientData/>
  </xdr:twoCellAnchor>
  <xdr:twoCellAnchor>
    <xdr:from>
      <xdr:col>7</xdr:col>
      <xdr:colOff>47625</xdr:colOff>
      <xdr:row>35</xdr:row>
      <xdr:rowOff>57151</xdr:rowOff>
    </xdr:from>
    <xdr:to>
      <xdr:col>13</xdr:col>
      <xdr:colOff>257176</xdr:colOff>
      <xdr:row>43</xdr:row>
      <xdr:rowOff>114300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B7ED39BF-B31D-46D2-83FB-534ED96C7D3F}"/>
            </a:ext>
          </a:extLst>
        </xdr:cNvPr>
        <xdr:cNvSpPr/>
      </xdr:nvSpPr>
      <xdr:spPr>
        <a:xfrm>
          <a:off x="4429125" y="5562601"/>
          <a:ext cx="3867151" cy="135254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Nas iterações, realizamos o cálculo inicial nos utilizando da estatística T do número de parcelas da amostra, chagando assim em um outro número de parcelas. Então alteramos a estatística T para aquela do novo número de parcelas e repetimos o processo até que o cálculo com uma certa estatística T dê um número de parcelas que tenha a mesma estatítica T do que a usada para calculá-lo.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66674</xdr:rowOff>
    </xdr:from>
    <xdr:to>
      <xdr:col>7</xdr:col>
      <xdr:colOff>0</xdr:colOff>
      <xdr:row>6</xdr:row>
      <xdr:rowOff>19049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9C0DC8A-D74A-46C3-A911-BEA5E4DCF1A4}"/>
            </a:ext>
          </a:extLst>
        </xdr:cNvPr>
        <xdr:cNvSpPr/>
      </xdr:nvSpPr>
      <xdr:spPr>
        <a:xfrm>
          <a:off x="4572000" y="66674"/>
          <a:ext cx="2514600" cy="10001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Novamente necessitamos de certas informações da floresta para o</a:t>
          </a:r>
          <a:r>
            <a:rPr lang="pt-BR" sz="1100" baseline="0"/>
            <a:t> cálculo por meio de um Estimador de Razão</a:t>
          </a:r>
          <a:r>
            <a:rPr lang="pt-BR" sz="1100"/>
            <a:t>. Principalmente o número de parcelas em faixa, o "N".</a:t>
          </a:r>
        </a:p>
      </xdr:txBody>
    </xdr:sp>
    <xdr:clientData/>
  </xdr:twoCellAnchor>
  <xdr:twoCellAnchor>
    <xdr:from>
      <xdr:col>0</xdr:col>
      <xdr:colOff>66674</xdr:colOff>
      <xdr:row>7</xdr:row>
      <xdr:rowOff>28575</xdr:rowOff>
    </xdr:from>
    <xdr:to>
      <xdr:col>2</xdr:col>
      <xdr:colOff>733424</xdr:colOff>
      <xdr:row>12</xdr:row>
      <xdr:rowOff>419099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C279C932-1365-499D-862D-531AF8FB0875}"/>
            </a:ext>
          </a:extLst>
        </xdr:cNvPr>
        <xdr:cNvSpPr/>
      </xdr:nvSpPr>
      <xdr:spPr>
        <a:xfrm>
          <a:off x="66674" y="1238250"/>
          <a:ext cx="3724275" cy="120014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Primeiramente definimos qual será nossa variável de interesse (y), e qual será nossa</a:t>
          </a:r>
          <a:r>
            <a:rPr lang="pt-BR" sz="1100" baseline="0"/>
            <a:t> variável auxiliar (x). Tendo ambos </a:t>
          </a:r>
          <a:r>
            <a:rPr lang="pt-BR" sz="1100"/>
            <a:t>realizamos alguns cálculos simples; o número de parcelas e as médias de cada variável, para então calcularmos o estimador de razão por meio da razão entre as médias calculadas.</a:t>
          </a:r>
        </a:p>
      </xdr:txBody>
    </xdr:sp>
    <xdr:clientData/>
  </xdr:twoCellAnchor>
  <xdr:twoCellAnchor>
    <xdr:from>
      <xdr:col>0</xdr:col>
      <xdr:colOff>809624</xdr:colOff>
      <xdr:row>23</xdr:row>
      <xdr:rowOff>95250</xdr:rowOff>
    </xdr:from>
    <xdr:to>
      <xdr:col>4</xdr:col>
      <xdr:colOff>57149</xdr:colOff>
      <xdr:row>29</xdr:row>
      <xdr:rowOff>142875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D368022-2B59-4B98-997F-DC0F4407F958}"/>
            </a:ext>
          </a:extLst>
        </xdr:cNvPr>
        <xdr:cNvSpPr/>
      </xdr:nvSpPr>
      <xdr:spPr>
        <a:xfrm>
          <a:off x="809624" y="4219575"/>
          <a:ext cx="3724275" cy="101917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Agora calculamos a Variância Populacional, na qual podemos nos utilizar de uma</a:t>
          </a:r>
          <a:r>
            <a:rPr lang="pt-BR" sz="1100" baseline="0"/>
            <a:t> das duas fórmulas</a:t>
          </a:r>
          <a:r>
            <a:rPr lang="pt-BR" sz="1100"/>
            <a:t>; a conceitual (ideal para o uso de planilhas) ou a de cálculo (ideal para calculos diretos por meio de uma calculadora). Nesse caso fizemos ambas as fórmulas, nos utilizando da tabela ao lado.</a:t>
          </a:r>
        </a:p>
      </xdr:txBody>
    </xdr:sp>
    <xdr:clientData/>
  </xdr:twoCellAnchor>
  <xdr:twoCellAnchor>
    <xdr:from>
      <xdr:col>0</xdr:col>
      <xdr:colOff>180974</xdr:colOff>
      <xdr:row>37</xdr:row>
      <xdr:rowOff>114300</xdr:rowOff>
    </xdr:from>
    <xdr:to>
      <xdr:col>3</xdr:col>
      <xdr:colOff>38099</xdr:colOff>
      <xdr:row>44</xdr:row>
      <xdr:rowOff>114300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2AF914D-ED43-4290-BD28-CEC2B079534D}"/>
            </a:ext>
          </a:extLst>
        </xdr:cNvPr>
        <xdr:cNvSpPr/>
      </xdr:nvSpPr>
      <xdr:spPr>
        <a:xfrm>
          <a:off x="180974" y="6505575"/>
          <a:ext cx="3724275" cy="113347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Tendo a Variância Populacional, agora calculamos os outros elementos necessários para</a:t>
          </a:r>
          <a:r>
            <a:rPr lang="pt-BR" sz="1100" baseline="0"/>
            <a:t> que possamos calcular o erro amostral presente; entrre eles o Estimador da quantidade de árvores da floresta, a correção para população finita,  a variância de R, o t estatístico, e por fim o erro amostral, em sua forma decimal e em porcentagem.</a:t>
          </a:r>
          <a:endParaRPr lang="pt-BR" sz="1100"/>
        </a:p>
      </xdr:txBody>
    </xdr:sp>
    <xdr:clientData/>
  </xdr:twoCellAnchor>
  <xdr:twoCellAnchor>
    <xdr:from>
      <xdr:col>0</xdr:col>
      <xdr:colOff>390525</xdr:colOff>
      <xdr:row>56</xdr:row>
      <xdr:rowOff>142875</xdr:rowOff>
    </xdr:from>
    <xdr:to>
      <xdr:col>3</xdr:col>
      <xdr:colOff>390526</xdr:colOff>
      <xdr:row>61</xdr:row>
      <xdr:rowOff>142875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E9D1983-4814-4C83-BE15-3422419C1DDF}"/>
            </a:ext>
          </a:extLst>
        </xdr:cNvPr>
        <xdr:cNvSpPr/>
      </xdr:nvSpPr>
      <xdr:spPr>
        <a:xfrm>
          <a:off x="390525" y="9610725"/>
          <a:ext cx="3867151" cy="8096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Por</a:t>
          </a:r>
          <a:r>
            <a:rPr lang="pt-BR" sz="1100" baseline="0"/>
            <a:t> fim, tendo em vista o erro amostral presente, calculamos o V%, para podermos realizar iterações com o objetivo de acharmos a quantidade de parcelas necessária para que consigamos ter um erro amostral específico; nesse caso de 5%.</a:t>
          </a:r>
          <a:endParaRPr lang="pt-BR" sz="1100"/>
        </a:p>
      </xdr:txBody>
    </xdr:sp>
    <xdr:clientData/>
  </xdr:twoCellAnchor>
  <xdr:twoCellAnchor>
    <xdr:from>
      <xdr:col>4</xdr:col>
      <xdr:colOff>57150</xdr:colOff>
      <xdr:row>64</xdr:row>
      <xdr:rowOff>0</xdr:rowOff>
    </xdr:from>
    <xdr:to>
      <xdr:col>9</xdr:col>
      <xdr:colOff>95251</xdr:colOff>
      <xdr:row>72</xdr:row>
      <xdr:rowOff>57149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3DCBF72-84A2-49A2-B388-3CF6F03218C7}"/>
            </a:ext>
          </a:extLst>
        </xdr:cNvPr>
        <xdr:cNvSpPr/>
      </xdr:nvSpPr>
      <xdr:spPr>
        <a:xfrm>
          <a:off x="4533900" y="10763250"/>
          <a:ext cx="3867151" cy="135254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Nas iterações, realizamos o cálculo inicial nos utilizando da estatística T do número de parcelas da amostra, chagando assim em um outro número de parcelas. Então alteramos a estatística T para aquela do novo número de parcelas e repetimos o processo até que o cálculo com uma certa estatística T dê um número de parcelas que tenha a mesma estatítica T do que a usada para calculá-lo.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76200</xdr:rowOff>
    </xdr:from>
    <xdr:to>
      <xdr:col>6</xdr:col>
      <xdr:colOff>266701</xdr:colOff>
      <xdr:row>8</xdr:row>
      <xdr:rowOff>95250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83211AB-D9FB-4ED8-B142-4CC36F559AA9}"/>
            </a:ext>
          </a:extLst>
        </xdr:cNvPr>
        <xdr:cNvSpPr/>
      </xdr:nvSpPr>
      <xdr:spPr>
        <a:xfrm>
          <a:off x="57150" y="238125"/>
          <a:ext cx="3867151" cy="11525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Tendo feito ambos tipos de amostragem; aleatória simples e com estimador padrão, façamos agora uma comparação entre ambas. Colocamos aqui a média</a:t>
          </a:r>
          <a:r>
            <a:rPr lang="pt-BR" sz="1100" baseline="0"/>
            <a:t> encontrada de árvores/ha das duas formas de amostragem, a variância de tal média e o tamanho da amostra necessário para atingir um erro amostral de 5 %</a:t>
          </a:r>
          <a:endParaRPr lang="pt-BR" sz="1100"/>
        </a:p>
      </xdr:txBody>
    </xdr:sp>
    <xdr:clientData/>
  </xdr:twoCellAnchor>
  <xdr:twoCellAnchor>
    <xdr:from>
      <xdr:col>0</xdr:col>
      <xdr:colOff>180975</xdr:colOff>
      <xdr:row>21</xdr:row>
      <xdr:rowOff>114300</xdr:rowOff>
    </xdr:from>
    <xdr:to>
      <xdr:col>6</xdr:col>
      <xdr:colOff>390526</xdr:colOff>
      <xdr:row>28</xdr:row>
      <xdr:rowOff>133350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6C45E09-7898-44DD-B792-7AF310D29551}"/>
            </a:ext>
          </a:extLst>
        </xdr:cNvPr>
        <xdr:cNvSpPr/>
      </xdr:nvSpPr>
      <xdr:spPr>
        <a:xfrm>
          <a:off x="180975" y="3514725"/>
          <a:ext cx="3867151" cy="11525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Tendo tais informações, calculamos agora duas</a:t>
          </a:r>
          <a:r>
            <a:rPr lang="pt-BR" sz="1100" baseline="0"/>
            <a:t> razões; a razão das variâncias da média (que nos dizem) e a razão dos tamanhos de amostra para o erro amostral de 5% (que revela a relação dos tamanhos, qual fração o número de amostras que encontramos com o estimador de razão representa tendo em vista o tamanho da amostra encontrado na amostragem aleatória simples).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Normal="100" workbookViewId="0">
      <selection activeCell="A2" sqref="A2:H2"/>
    </sheetView>
  </sheetViews>
  <sheetFormatPr defaultColWidth="11.5703125" defaultRowHeight="12.75" x14ac:dyDescent="0.2"/>
  <cols>
    <col min="1" max="5" width="10.7109375" customWidth="1"/>
    <col min="6" max="6" width="14.140625" customWidth="1"/>
    <col min="7" max="8" width="10.7109375" customWidth="1"/>
  </cols>
  <sheetData>
    <row r="1" spans="1:8" ht="23.6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8" ht="23.6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</row>
    <row r="3" spans="1:8" ht="12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</row>
    <row r="4" spans="1:8" ht="23.65" customHeight="1" x14ac:dyDescent="0.2">
      <c r="A4" s="46" t="s">
        <v>3</v>
      </c>
      <c r="B4" s="46"/>
      <c r="C4" s="46"/>
      <c r="D4" s="46"/>
      <c r="E4" s="46"/>
      <c r="F4" s="46"/>
      <c r="G4" s="46"/>
      <c r="H4" s="46"/>
    </row>
    <row r="6" spans="1:8" ht="38.25" x14ac:dyDescent="0.2">
      <c r="C6" s="1" t="s">
        <v>4</v>
      </c>
      <c r="D6" s="1" t="s">
        <v>5</v>
      </c>
      <c r="E6" s="1" t="s">
        <v>6</v>
      </c>
      <c r="F6" s="19" t="s">
        <v>67</v>
      </c>
    </row>
    <row r="7" spans="1:8" x14ac:dyDescent="0.2">
      <c r="C7" s="2">
        <v>101</v>
      </c>
      <c r="D7" s="2">
        <v>0.115</v>
      </c>
      <c r="E7" s="2">
        <v>47</v>
      </c>
      <c r="F7" s="20">
        <f>E7/D7</f>
        <v>408.695652173913</v>
      </c>
    </row>
    <row r="8" spans="1:8" x14ac:dyDescent="0.2">
      <c r="C8" s="2">
        <v>405</v>
      </c>
      <c r="D8" s="2">
        <v>0.25</v>
      </c>
      <c r="E8" s="2">
        <v>72</v>
      </c>
      <c r="F8" s="20">
        <f t="shared" ref="F8:F23" si="0">E8/D8</f>
        <v>288</v>
      </c>
    </row>
    <row r="9" spans="1:8" x14ac:dyDescent="0.2">
      <c r="C9" s="2">
        <v>408</v>
      </c>
      <c r="D9" s="2">
        <v>0.25</v>
      </c>
      <c r="E9" s="2">
        <v>83</v>
      </c>
      <c r="F9" s="20">
        <f t="shared" si="0"/>
        <v>332</v>
      </c>
    </row>
    <row r="10" spans="1:8" x14ac:dyDescent="0.2">
      <c r="C10" s="2">
        <v>410</v>
      </c>
      <c r="D10" s="2">
        <v>0.25</v>
      </c>
      <c r="E10" s="2">
        <v>95</v>
      </c>
      <c r="F10" s="20">
        <f t="shared" si="0"/>
        <v>380</v>
      </c>
    </row>
    <row r="11" spans="1:8" x14ac:dyDescent="0.2">
      <c r="C11" s="2">
        <v>412</v>
      </c>
      <c r="D11" s="2">
        <v>0.25</v>
      </c>
      <c r="E11" s="2">
        <v>105</v>
      </c>
      <c r="F11" s="20">
        <f t="shared" si="0"/>
        <v>420</v>
      </c>
    </row>
    <row r="12" spans="1:8" x14ac:dyDescent="0.2">
      <c r="C12" s="2">
        <v>413</v>
      </c>
      <c r="D12" s="2">
        <v>0.25</v>
      </c>
      <c r="E12" s="2">
        <v>108</v>
      </c>
      <c r="F12" s="20">
        <f t="shared" si="0"/>
        <v>432</v>
      </c>
    </row>
    <row r="13" spans="1:8" x14ac:dyDescent="0.2">
      <c r="C13" s="2">
        <v>415</v>
      </c>
      <c r="D13" s="2">
        <v>0.25</v>
      </c>
      <c r="E13" s="2">
        <v>60</v>
      </c>
      <c r="F13" s="20">
        <f t="shared" si="0"/>
        <v>240</v>
      </c>
    </row>
    <row r="14" spans="1:8" x14ac:dyDescent="0.2">
      <c r="C14" s="2">
        <v>416</v>
      </c>
      <c r="D14" s="2">
        <v>0.25</v>
      </c>
      <c r="E14" s="2">
        <v>91</v>
      </c>
      <c r="F14" s="20">
        <f t="shared" si="0"/>
        <v>364</v>
      </c>
    </row>
    <row r="15" spans="1:8" x14ac:dyDescent="0.2">
      <c r="C15" s="2">
        <v>417</v>
      </c>
      <c r="D15" s="2">
        <v>0.25</v>
      </c>
      <c r="E15" s="2">
        <v>83</v>
      </c>
      <c r="F15" s="20">
        <f t="shared" si="0"/>
        <v>332</v>
      </c>
    </row>
    <row r="16" spans="1:8" x14ac:dyDescent="0.2">
      <c r="C16" s="2">
        <v>401</v>
      </c>
      <c r="D16" s="2">
        <v>0.5</v>
      </c>
      <c r="E16" s="2">
        <v>158</v>
      </c>
      <c r="F16" s="20">
        <f t="shared" si="0"/>
        <v>316</v>
      </c>
    </row>
    <row r="17" spans="3:6" x14ac:dyDescent="0.2">
      <c r="C17" s="2">
        <v>403</v>
      </c>
      <c r="D17" s="2">
        <v>0.5</v>
      </c>
      <c r="E17" s="2">
        <v>121</v>
      </c>
      <c r="F17" s="20">
        <f t="shared" si="0"/>
        <v>242</v>
      </c>
    </row>
    <row r="18" spans="3:6" x14ac:dyDescent="0.2">
      <c r="C18" s="2">
        <v>404</v>
      </c>
      <c r="D18" s="2">
        <v>0.5</v>
      </c>
      <c r="E18" s="2">
        <v>120</v>
      </c>
      <c r="F18" s="20">
        <f t="shared" si="0"/>
        <v>240</v>
      </c>
    </row>
    <row r="19" spans="3:6" x14ac:dyDescent="0.2">
      <c r="C19" s="2">
        <v>406</v>
      </c>
      <c r="D19" s="2">
        <v>0.5</v>
      </c>
      <c r="E19" s="2">
        <v>171</v>
      </c>
      <c r="F19" s="20">
        <f t="shared" si="0"/>
        <v>342</v>
      </c>
    </row>
    <row r="20" spans="3:6" x14ac:dyDescent="0.2">
      <c r="C20" s="2">
        <v>407</v>
      </c>
      <c r="D20" s="2">
        <v>0.5</v>
      </c>
      <c r="E20" s="2">
        <v>143</v>
      </c>
      <c r="F20" s="20">
        <f t="shared" si="0"/>
        <v>286</v>
      </c>
    </row>
    <row r="21" spans="3:6" x14ac:dyDescent="0.2">
      <c r="C21" s="2">
        <v>409</v>
      </c>
      <c r="D21" s="2">
        <v>0.5</v>
      </c>
      <c r="E21" s="2">
        <v>166</v>
      </c>
      <c r="F21" s="20">
        <f t="shared" si="0"/>
        <v>332</v>
      </c>
    </row>
    <row r="22" spans="3:6" x14ac:dyDescent="0.2">
      <c r="C22" s="2">
        <v>411</v>
      </c>
      <c r="D22" s="2">
        <v>0.5</v>
      </c>
      <c r="E22" s="2">
        <v>192</v>
      </c>
      <c r="F22" s="20">
        <f t="shared" si="0"/>
        <v>384</v>
      </c>
    </row>
    <row r="23" spans="3:6" x14ac:dyDescent="0.2">
      <c r="C23" s="2">
        <v>414</v>
      </c>
      <c r="D23" s="2">
        <v>0.5</v>
      </c>
      <c r="E23" s="2">
        <v>170</v>
      </c>
      <c r="F23" s="26">
        <f t="shared" si="0"/>
        <v>340</v>
      </c>
    </row>
    <row r="24" spans="3:6" x14ac:dyDescent="0.2">
      <c r="F24" s="27"/>
    </row>
  </sheetData>
  <mergeCells count="4">
    <mergeCell ref="A1:H1"/>
    <mergeCell ref="A2:H2"/>
    <mergeCell ref="A3:H3"/>
    <mergeCell ref="A4:H4"/>
  </mergeCells>
  <pageMargins left="0.78749999999999998" right="0.78749999999999998" top="1.2749999999999999" bottom="1.05277777777778" header="0.78749999999999998" footer="0.78749999999999998"/>
  <pageSetup paperSize="9" orientation="portrait" useFirstPageNumber="1" horizontalDpi="300" verticalDpi="300"/>
  <headerFooter>
    <oddHeader>&amp;C&amp;"Times New Roman,Negrito"&amp;16LCF0510 Inventario Florestal - 2021 - Aula 11
&amp;"Times New Roman,Regular"&amp;12&amp;A</oddHeader>
    <oddFooter>&amp;C&amp;"Arial,Itálico"&amp;12 22/11/2021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714F-2ACD-4571-9BF6-0B965E9D0D4B}">
  <dimension ref="A1:G42"/>
  <sheetViews>
    <sheetView topLeftCell="A25" workbookViewId="0">
      <selection activeCell="K31" sqref="K31"/>
    </sheetView>
  </sheetViews>
  <sheetFormatPr defaultRowHeight="12.75" x14ac:dyDescent="0.2"/>
  <cols>
    <col min="1" max="1" width="9" customWidth="1"/>
    <col min="2" max="2" width="11" customWidth="1"/>
  </cols>
  <sheetData>
    <row r="1" spans="1:6" x14ac:dyDescent="0.2">
      <c r="A1" s="8" t="s">
        <v>16</v>
      </c>
      <c r="B1" s="8"/>
      <c r="D1" s="3" t="s">
        <v>17</v>
      </c>
      <c r="E1" s="5">
        <v>500</v>
      </c>
      <c r="F1" t="s">
        <v>18</v>
      </c>
    </row>
    <row r="2" spans="1:6" x14ac:dyDescent="0.2">
      <c r="A2" s="8" t="s">
        <v>19</v>
      </c>
      <c r="B2" s="9"/>
      <c r="E2" s="6">
        <v>12500</v>
      </c>
      <c r="F2" t="s">
        <v>20</v>
      </c>
    </row>
    <row r="3" spans="1:6" x14ac:dyDescent="0.2">
      <c r="A3" s="8" t="s">
        <v>21</v>
      </c>
      <c r="B3" s="9"/>
      <c r="E3" s="7">
        <v>0.4</v>
      </c>
      <c r="F3" t="s">
        <v>18</v>
      </c>
    </row>
    <row r="4" spans="1:6" x14ac:dyDescent="0.2">
      <c r="A4" s="8" t="s">
        <v>22</v>
      </c>
      <c r="B4" s="8"/>
      <c r="D4" s="3" t="s">
        <v>23</v>
      </c>
      <c r="E4" s="6">
        <v>1250</v>
      </c>
    </row>
    <row r="17" spans="1:5" x14ac:dyDescent="0.2">
      <c r="A17" s="8" t="s">
        <v>24</v>
      </c>
    </row>
    <row r="18" spans="1:5" x14ac:dyDescent="0.2">
      <c r="A18" t="s">
        <v>25</v>
      </c>
      <c r="C18" s="3" t="s">
        <v>32</v>
      </c>
      <c r="D18">
        <f>ROUNDUP(AVERAGE('Exercício 1 - Levantamento em F'!F7:F23),3)</f>
        <v>334.041</v>
      </c>
      <c r="E18" t="s">
        <v>88</v>
      </c>
    </row>
    <row r="19" spans="1:5" x14ac:dyDescent="0.2">
      <c r="A19" t="s">
        <v>26</v>
      </c>
      <c r="C19" s="3" t="s">
        <v>33</v>
      </c>
      <c r="D19">
        <f>ROUNDUP(_xlfn.VAR.S('Exercício 1 - Levantamento em F'!F7:F23),3)</f>
        <v>3692.9640000000004</v>
      </c>
      <c r="E19" t="s">
        <v>88</v>
      </c>
    </row>
    <row r="20" spans="1:5" x14ac:dyDescent="0.2">
      <c r="A20" t="s">
        <v>27</v>
      </c>
      <c r="C20" s="3" t="s">
        <v>34</v>
      </c>
      <c r="D20">
        <f>COUNT('Exercício 1 - Levantamento em F'!E7:E23)</f>
        <v>17</v>
      </c>
    </row>
    <row r="21" spans="1:5" x14ac:dyDescent="0.2">
      <c r="A21" t="s">
        <v>104</v>
      </c>
      <c r="C21" s="25" t="s">
        <v>105</v>
      </c>
      <c r="D21">
        <f>1-(D20/E4)</f>
        <v>0.98640000000000005</v>
      </c>
    </row>
    <row r="22" spans="1:5" x14ac:dyDescent="0.2">
      <c r="A22" t="s">
        <v>28</v>
      </c>
      <c r="C22" s="3" t="s">
        <v>35</v>
      </c>
      <c r="D22">
        <f>ROUNDUP((D19/D20)*(D21),3)</f>
        <v>214.279</v>
      </c>
    </row>
    <row r="23" spans="1:5" x14ac:dyDescent="0.2">
      <c r="A23" t="s">
        <v>29</v>
      </c>
      <c r="C23" s="3" t="s">
        <v>36</v>
      </c>
      <c r="D23">
        <v>2.12</v>
      </c>
    </row>
    <row r="24" spans="1:5" x14ac:dyDescent="0.2">
      <c r="A24" t="s">
        <v>30</v>
      </c>
      <c r="C24" s="3"/>
      <c r="D24">
        <f>D23*((D22)^(1/2))</f>
        <v>31.033136122538437</v>
      </c>
    </row>
    <row r="25" spans="1:5" x14ac:dyDescent="0.2">
      <c r="A25" t="s">
        <v>31</v>
      </c>
      <c r="C25" s="3"/>
      <c r="D25">
        <f>ROUNDUP(((D24/D18)*100),0)</f>
        <v>10</v>
      </c>
      <c r="E25" t="s">
        <v>37</v>
      </c>
    </row>
    <row r="34" spans="1:7" x14ac:dyDescent="0.2">
      <c r="A34" s="8" t="s">
        <v>38</v>
      </c>
    </row>
    <row r="35" spans="1:7" x14ac:dyDescent="0.2">
      <c r="E35" s="10" t="s">
        <v>39</v>
      </c>
      <c r="F35" s="11">
        <v>5</v>
      </c>
    </row>
    <row r="36" spans="1:7" x14ac:dyDescent="0.2">
      <c r="E36" s="3" t="s">
        <v>40</v>
      </c>
      <c r="F36">
        <f xml:space="preserve"> (SQRT(D19)/D18)*100</f>
        <v>18.192306398835644</v>
      </c>
    </row>
    <row r="38" spans="1:7" x14ac:dyDescent="0.2">
      <c r="E38" s="13" t="s">
        <v>41</v>
      </c>
      <c r="F38" s="13" t="s">
        <v>42</v>
      </c>
      <c r="G38" s="13" t="s">
        <v>43</v>
      </c>
    </row>
    <row r="39" spans="1:7" x14ac:dyDescent="0.2">
      <c r="E39" s="12">
        <v>1</v>
      </c>
      <c r="F39" s="12">
        <v>2.12</v>
      </c>
      <c r="G39" s="12">
        <f>_xlfn.CEILING.MATH(((F39^2*$F$36^2*$E$4)/($F$35^2*$E$4)+(F39^2*$F$36^2)))</f>
        <v>1547</v>
      </c>
    </row>
    <row r="40" spans="1:7" x14ac:dyDescent="0.2">
      <c r="E40" s="12">
        <v>2</v>
      </c>
      <c r="F40" s="12">
        <v>1.96</v>
      </c>
      <c r="G40" s="12">
        <f>_xlfn.CEILING.MATH(((F40^2*$F$36^2*$E$4)/($F$35^2*$E$4)+(F40^2*$F$36^2)))</f>
        <v>1323</v>
      </c>
    </row>
    <row r="41" spans="1:7" x14ac:dyDescent="0.2">
      <c r="E41" s="12">
        <v>3</v>
      </c>
      <c r="F41" s="12">
        <v>1.96</v>
      </c>
      <c r="G41" s="12">
        <f>_xlfn.CEILING.MATH(((F41^2*$F$36^2*$E$4)/($F$35^2*$E$4)+(F41^2*$F$36^2)))</f>
        <v>1323</v>
      </c>
    </row>
    <row r="42" spans="1:7" x14ac:dyDescent="0.2">
      <c r="E42" s="12">
        <v>4</v>
      </c>
      <c r="F42" s="12">
        <v>1.96</v>
      </c>
      <c r="G42" s="12">
        <f>_xlfn.CEILING.MATH(((F42^2*$F$36^2*$E$4)/($F$35^2*$E$4)+(F42^2*$F$36^2)))</f>
        <v>1323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A4EF-5BB9-4A7A-8A7B-7113216DD2BE}">
  <dimension ref="A1:L71"/>
  <sheetViews>
    <sheetView topLeftCell="A49" workbookViewId="0">
      <selection activeCell="D69" sqref="D69"/>
    </sheetView>
  </sheetViews>
  <sheetFormatPr defaultRowHeight="12.75" x14ac:dyDescent="0.2"/>
  <cols>
    <col min="1" max="1" width="32" customWidth="1"/>
    <col min="2" max="2" width="13.85546875" customWidth="1"/>
    <col min="3" max="3" width="12.140625" bestFit="1" customWidth="1"/>
    <col min="7" max="7" width="20.85546875" customWidth="1"/>
  </cols>
  <sheetData>
    <row r="1" spans="1:4" ht="15.75" x14ac:dyDescent="0.3">
      <c r="A1" t="s">
        <v>16</v>
      </c>
      <c r="B1" s="15" t="s">
        <v>59</v>
      </c>
      <c r="C1" s="5">
        <v>500</v>
      </c>
      <c r="D1" t="s">
        <v>18</v>
      </c>
    </row>
    <row r="2" spans="1:4" x14ac:dyDescent="0.2">
      <c r="A2" t="s">
        <v>19</v>
      </c>
      <c r="B2" s="3" t="s">
        <v>44</v>
      </c>
      <c r="C2" s="16">
        <v>12500</v>
      </c>
      <c r="D2" t="s">
        <v>20</v>
      </c>
    </row>
    <row r="3" spans="1:4" ht="15.75" x14ac:dyDescent="0.3">
      <c r="A3" t="s">
        <v>21</v>
      </c>
      <c r="B3" s="15" t="s">
        <v>60</v>
      </c>
      <c r="C3" s="7">
        <v>0.4</v>
      </c>
      <c r="D3" t="s">
        <v>18</v>
      </c>
    </row>
    <row r="4" spans="1:4" x14ac:dyDescent="0.2">
      <c r="A4" t="s">
        <v>22</v>
      </c>
      <c r="B4" s="3" t="s">
        <v>23</v>
      </c>
      <c r="C4" s="16">
        <v>1250</v>
      </c>
    </row>
    <row r="5" spans="1:4" x14ac:dyDescent="0.2">
      <c r="B5" s="3"/>
      <c r="C5" s="4"/>
    </row>
    <row r="14" spans="1:4" x14ac:dyDescent="0.2">
      <c r="A14" s="14" t="s">
        <v>46</v>
      </c>
      <c r="B14" s="3"/>
      <c r="C14" s="4"/>
    </row>
    <row r="15" spans="1:4" x14ac:dyDescent="0.2">
      <c r="A15" t="s">
        <v>45</v>
      </c>
      <c r="B15" s="3"/>
    </row>
    <row r="16" spans="1:4" x14ac:dyDescent="0.2">
      <c r="A16" s="3" t="s">
        <v>47</v>
      </c>
      <c r="B16" s="3" t="s">
        <v>61</v>
      </c>
      <c r="C16" s="11">
        <v>17</v>
      </c>
    </row>
    <row r="17" spans="1:12" x14ac:dyDescent="0.2">
      <c r="A17" s="3" t="s">
        <v>48</v>
      </c>
      <c r="B17" s="3" t="s">
        <v>62</v>
      </c>
      <c r="C17" s="17">
        <f>AVERAGE('Exercício 1 - Levantamento em F'!E7:E23)</f>
        <v>116.76470588235294</v>
      </c>
      <c r="D17" t="s">
        <v>64</v>
      </c>
    </row>
    <row r="18" spans="1:12" x14ac:dyDescent="0.2">
      <c r="B18" s="3" t="s">
        <v>63</v>
      </c>
      <c r="C18" s="17">
        <f>AVERAGE('Exercício 1 - Levantamento em F'!D7:D23)</f>
        <v>0.35970588235294121</v>
      </c>
      <c r="D18" t="s">
        <v>18</v>
      </c>
    </row>
    <row r="20" spans="1:12" x14ac:dyDescent="0.2">
      <c r="A20" s="3" t="s">
        <v>49</v>
      </c>
      <c r="B20" s="3" t="s">
        <v>65</v>
      </c>
      <c r="C20" s="17">
        <f>C17/C18</f>
        <v>324.6116107931316</v>
      </c>
      <c r="D20" t="s">
        <v>66</v>
      </c>
    </row>
    <row r="22" spans="1:12" ht="38.25" x14ac:dyDescent="0.2">
      <c r="F22" s="1" t="s">
        <v>4</v>
      </c>
      <c r="G22" s="1" t="s">
        <v>5</v>
      </c>
      <c r="H22" s="1" t="s">
        <v>6</v>
      </c>
      <c r="I22" s="19" t="s">
        <v>68</v>
      </c>
      <c r="J22" s="19" t="s">
        <v>69</v>
      </c>
      <c r="K22" s="19" t="s">
        <v>70</v>
      </c>
      <c r="L22" s="19" t="s">
        <v>71</v>
      </c>
    </row>
    <row r="23" spans="1:12" x14ac:dyDescent="0.2">
      <c r="F23" s="2">
        <v>101</v>
      </c>
      <c r="G23" s="2">
        <v>0.115</v>
      </c>
      <c r="H23" s="2">
        <v>47</v>
      </c>
      <c r="I23" s="20">
        <f>(H23-(G23*C20))^2</f>
        <v>93.502416547382637</v>
      </c>
      <c r="J23" s="20">
        <f>H23^2</f>
        <v>2209</v>
      </c>
      <c r="K23" s="20">
        <f>G23^2</f>
        <v>1.3225000000000001E-2</v>
      </c>
      <c r="L23" s="20">
        <f>H23*G23</f>
        <v>5.4050000000000002</v>
      </c>
    </row>
    <row r="24" spans="1:12" x14ac:dyDescent="0.2">
      <c r="F24" s="2">
        <v>405</v>
      </c>
      <c r="G24" s="2">
        <v>0.25</v>
      </c>
      <c r="H24" s="2">
        <v>72</v>
      </c>
      <c r="I24" s="20">
        <f>(H24-(G24*C20))^2</f>
        <v>83.775627804234404</v>
      </c>
      <c r="J24" s="20">
        <f t="shared" ref="J24:J39" si="0">H24^2</f>
        <v>5184</v>
      </c>
      <c r="K24" s="20">
        <f t="shared" ref="K24:K39" si="1">G24^2</f>
        <v>6.25E-2</v>
      </c>
      <c r="L24" s="20">
        <f t="shared" ref="L24:L39" si="2">H24*G24</f>
        <v>18</v>
      </c>
    </row>
    <row r="25" spans="1:12" x14ac:dyDescent="0.2">
      <c r="F25" s="2">
        <v>408</v>
      </c>
      <c r="G25" s="2">
        <v>0.25</v>
      </c>
      <c r="H25" s="2">
        <v>83</v>
      </c>
      <c r="I25" s="20">
        <f>(H25-(G25*C20))^2</f>
        <v>3.411768442010588</v>
      </c>
      <c r="J25" s="20">
        <f t="shared" si="0"/>
        <v>6889</v>
      </c>
      <c r="K25" s="20">
        <f t="shared" si="1"/>
        <v>6.25E-2</v>
      </c>
      <c r="L25" s="20">
        <f t="shared" si="2"/>
        <v>20.75</v>
      </c>
    </row>
    <row r="26" spans="1:12" x14ac:dyDescent="0.2">
      <c r="F26" s="2">
        <v>410</v>
      </c>
      <c r="G26" s="2">
        <v>0.25</v>
      </c>
      <c r="H26" s="2">
        <v>95</v>
      </c>
      <c r="I26" s="20">
        <f>(H26-(G26*C20))^2</f>
        <v>191.74210368322096</v>
      </c>
      <c r="J26" s="20">
        <f t="shared" si="0"/>
        <v>9025</v>
      </c>
      <c r="K26" s="20">
        <f t="shared" si="1"/>
        <v>6.25E-2</v>
      </c>
      <c r="L26" s="20">
        <f t="shared" si="2"/>
        <v>23.75</v>
      </c>
    </row>
    <row r="27" spans="1:12" x14ac:dyDescent="0.2">
      <c r="F27" s="2">
        <v>412</v>
      </c>
      <c r="G27" s="2">
        <v>0.25</v>
      </c>
      <c r="H27" s="2">
        <v>105</v>
      </c>
      <c r="I27" s="20">
        <f>(H27-(G27*C20))^2</f>
        <v>568.68404971756297</v>
      </c>
      <c r="J27" s="20">
        <f t="shared" si="0"/>
        <v>11025</v>
      </c>
      <c r="K27" s="20">
        <f t="shared" si="1"/>
        <v>6.25E-2</v>
      </c>
      <c r="L27" s="20">
        <f t="shared" si="2"/>
        <v>26.25</v>
      </c>
    </row>
    <row r="28" spans="1:12" x14ac:dyDescent="0.2">
      <c r="F28" s="2">
        <v>413</v>
      </c>
      <c r="G28" s="2">
        <v>0.25</v>
      </c>
      <c r="H28" s="2">
        <v>108</v>
      </c>
      <c r="I28" s="20">
        <f>(H28-(G28*C20))^2</f>
        <v>720.76663352786557</v>
      </c>
      <c r="J28" s="20">
        <f t="shared" si="0"/>
        <v>11664</v>
      </c>
      <c r="K28" s="20">
        <f t="shared" si="1"/>
        <v>6.25E-2</v>
      </c>
      <c r="L28" s="20">
        <f t="shared" si="2"/>
        <v>27</v>
      </c>
    </row>
    <row r="29" spans="1:12" x14ac:dyDescent="0.2">
      <c r="F29" s="2">
        <v>415</v>
      </c>
      <c r="G29" s="2">
        <v>0.25</v>
      </c>
      <c r="H29" s="2">
        <v>60</v>
      </c>
      <c r="I29" s="20">
        <f>(H29-(G29*C20))^2</f>
        <v>447.44529256302405</v>
      </c>
      <c r="J29" s="20">
        <f t="shared" si="0"/>
        <v>3600</v>
      </c>
      <c r="K29" s="20">
        <f t="shared" si="1"/>
        <v>6.25E-2</v>
      </c>
      <c r="L29" s="20">
        <f t="shared" si="2"/>
        <v>15</v>
      </c>
    </row>
    <row r="30" spans="1:12" x14ac:dyDescent="0.2">
      <c r="F30" s="2">
        <v>416</v>
      </c>
      <c r="G30" s="2">
        <v>0.25</v>
      </c>
      <c r="H30" s="2">
        <v>91</v>
      </c>
      <c r="I30" s="20">
        <f>(H30-(G30*C20))^2</f>
        <v>96.965325269484168</v>
      </c>
      <c r="J30" s="20">
        <f t="shared" si="0"/>
        <v>8281</v>
      </c>
      <c r="K30" s="20">
        <f t="shared" si="1"/>
        <v>6.25E-2</v>
      </c>
      <c r="L30" s="20">
        <f t="shared" si="2"/>
        <v>22.75</v>
      </c>
    </row>
    <row r="31" spans="1:12" x14ac:dyDescent="0.2">
      <c r="F31" s="2">
        <v>417</v>
      </c>
      <c r="G31" s="2">
        <v>0.25</v>
      </c>
      <c r="H31" s="2">
        <v>83</v>
      </c>
      <c r="I31" s="20">
        <f>(H31-(G31*C20))^2</f>
        <v>3.411768442010588</v>
      </c>
      <c r="J31" s="20">
        <f t="shared" si="0"/>
        <v>6889</v>
      </c>
      <c r="K31" s="20">
        <f t="shared" si="1"/>
        <v>6.25E-2</v>
      </c>
      <c r="L31" s="20">
        <f t="shared" si="2"/>
        <v>20.75</v>
      </c>
    </row>
    <row r="32" spans="1:12" x14ac:dyDescent="0.2">
      <c r="A32" s="3" t="s">
        <v>50</v>
      </c>
      <c r="B32" s="3" t="s">
        <v>72</v>
      </c>
      <c r="C32" s="17">
        <f>SUM(J23:J39)</f>
        <v>261781</v>
      </c>
      <c r="F32" s="2">
        <v>401</v>
      </c>
      <c r="G32" s="2">
        <v>0.5</v>
      </c>
      <c r="H32" s="2">
        <v>158</v>
      </c>
      <c r="I32" s="20">
        <f>(H32-(G32*C20))^2</f>
        <v>18.539960113095184</v>
      </c>
      <c r="J32" s="20">
        <f t="shared" si="0"/>
        <v>24964</v>
      </c>
      <c r="K32" s="20">
        <f t="shared" si="1"/>
        <v>0.25</v>
      </c>
      <c r="L32" s="20">
        <f t="shared" si="2"/>
        <v>79</v>
      </c>
    </row>
    <row r="33" spans="1:12" x14ac:dyDescent="0.2">
      <c r="B33" s="3" t="s">
        <v>73</v>
      </c>
      <c r="C33" s="17">
        <f>SUM(K23:K39)</f>
        <v>2.5132250000000003</v>
      </c>
      <c r="F33" s="2">
        <v>403</v>
      </c>
      <c r="G33" s="2">
        <v>0.5</v>
      </c>
      <c r="H33" s="2">
        <v>121</v>
      </c>
      <c r="I33" s="20">
        <f>(H33-(G33*C20))^2</f>
        <v>1706.1695594589646</v>
      </c>
      <c r="J33" s="20">
        <f t="shared" si="0"/>
        <v>14641</v>
      </c>
      <c r="K33" s="20">
        <f t="shared" si="1"/>
        <v>0.25</v>
      </c>
      <c r="L33" s="20">
        <f t="shared" si="2"/>
        <v>60.5</v>
      </c>
    </row>
    <row r="34" spans="1:12" x14ac:dyDescent="0.2">
      <c r="B34" s="3" t="s">
        <v>74</v>
      </c>
      <c r="C34" s="17">
        <f>SUM(L23:L39)</f>
        <v>800.15499999999997</v>
      </c>
      <c r="F34" s="2">
        <v>404</v>
      </c>
      <c r="G34" s="2">
        <v>0.5</v>
      </c>
      <c r="H34" s="2">
        <v>120</v>
      </c>
      <c r="I34" s="20">
        <f>(H34-(G34*C20))^2</f>
        <v>1789.7811702520962</v>
      </c>
      <c r="J34" s="20">
        <f t="shared" si="0"/>
        <v>14400</v>
      </c>
      <c r="K34" s="20">
        <f t="shared" si="1"/>
        <v>0.25</v>
      </c>
      <c r="L34" s="20">
        <f t="shared" si="2"/>
        <v>60</v>
      </c>
    </row>
    <row r="35" spans="1:12" x14ac:dyDescent="0.2">
      <c r="B35" s="3"/>
      <c r="C35" s="17"/>
      <c r="F35" s="2">
        <v>406</v>
      </c>
      <c r="G35" s="2">
        <v>0.5</v>
      </c>
      <c r="H35" s="2">
        <v>171</v>
      </c>
      <c r="I35" s="20">
        <f>(H35-(G35*C20))^2</f>
        <v>75.589019802384328</v>
      </c>
      <c r="J35" s="20">
        <f t="shared" si="0"/>
        <v>29241</v>
      </c>
      <c r="K35" s="20">
        <f t="shared" si="1"/>
        <v>0.25</v>
      </c>
      <c r="L35" s="20">
        <f t="shared" si="2"/>
        <v>85.5</v>
      </c>
    </row>
    <row r="36" spans="1:12" x14ac:dyDescent="0.2">
      <c r="B36" s="3" t="s">
        <v>75</v>
      </c>
      <c r="C36">
        <f>(C32+C20^2*C33-2*C20*C34)/C16-1</f>
        <v>418.2406891260967</v>
      </c>
      <c r="F36" s="2">
        <v>407</v>
      </c>
      <c r="G36" s="2">
        <v>0.5</v>
      </c>
      <c r="H36" s="2">
        <v>143</v>
      </c>
      <c r="I36" s="20">
        <f>(H36-(G36*C20))^2</f>
        <v>372.71412201006922</v>
      </c>
      <c r="J36" s="20">
        <f t="shared" si="0"/>
        <v>20449</v>
      </c>
      <c r="K36" s="20">
        <f t="shared" si="1"/>
        <v>0.25</v>
      </c>
      <c r="L36" s="20">
        <f t="shared" si="2"/>
        <v>71.5</v>
      </c>
    </row>
    <row r="37" spans="1:12" x14ac:dyDescent="0.2">
      <c r="B37" s="3" t="s">
        <v>75</v>
      </c>
      <c r="C37" s="17">
        <f>(SUM(I23:I39))/C16-1</f>
        <v>418.24068912609317</v>
      </c>
      <c r="F37" s="2">
        <v>409</v>
      </c>
      <c r="G37" s="2">
        <v>0.5</v>
      </c>
      <c r="H37" s="2">
        <v>166</v>
      </c>
      <c r="I37" s="20">
        <f>(H37-(G37*C20))^2</f>
        <v>13.647073768042352</v>
      </c>
      <c r="J37" s="20">
        <f t="shared" si="0"/>
        <v>27556</v>
      </c>
      <c r="K37" s="20">
        <f t="shared" si="1"/>
        <v>0.25</v>
      </c>
      <c r="L37" s="20">
        <f t="shared" si="2"/>
        <v>83</v>
      </c>
    </row>
    <row r="38" spans="1:12" x14ac:dyDescent="0.2">
      <c r="C38" s="17"/>
      <c r="F38" s="2">
        <v>411</v>
      </c>
      <c r="G38" s="2">
        <v>0.5</v>
      </c>
      <c r="H38" s="2">
        <v>192</v>
      </c>
      <c r="I38" s="20">
        <f>(H38-(G38*C20))^2</f>
        <v>881.74519314662064</v>
      </c>
      <c r="J38" s="20">
        <f t="shared" si="0"/>
        <v>36864</v>
      </c>
      <c r="K38" s="20">
        <f t="shared" si="1"/>
        <v>0.25</v>
      </c>
      <c r="L38" s="20">
        <f t="shared" si="2"/>
        <v>96</v>
      </c>
    </row>
    <row r="39" spans="1:12" x14ac:dyDescent="0.2">
      <c r="F39" s="2">
        <v>414</v>
      </c>
      <c r="G39" s="2">
        <v>0.5</v>
      </c>
      <c r="H39" s="2">
        <v>170</v>
      </c>
      <c r="I39" s="20">
        <f>(H39-(G39*C20))^2</f>
        <v>59.200630595515939</v>
      </c>
      <c r="J39" s="20">
        <f t="shared" si="0"/>
        <v>28900</v>
      </c>
      <c r="K39" s="20">
        <f t="shared" si="1"/>
        <v>0.25</v>
      </c>
      <c r="L39" s="20">
        <f t="shared" si="2"/>
        <v>85</v>
      </c>
    </row>
    <row r="44" spans="1:12" x14ac:dyDescent="0.2">
      <c r="F44" s="3"/>
    </row>
    <row r="46" spans="1:12" x14ac:dyDescent="0.2">
      <c r="A46" t="s">
        <v>58</v>
      </c>
      <c r="C46" s="17"/>
    </row>
    <row r="47" spans="1:12" x14ac:dyDescent="0.2">
      <c r="A47" t="s">
        <v>51</v>
      </c>
      <c r="B47" s="3" t="s">
        <v>65</v>
      </c>
      <c r="C47" s="17">
        <f>C17/C18</f>
        <v>324.6116107931316</v>
      </c>
      <c r="D47" t="s">
        <v>66</v>
      </c>
    </row>
    <row r="48" spans="1:12" x14ac:dyDescent="0.2">
      <c r="B48" s="3"/>
      <c r="C48" s="17"/>
    </row>
    <row r="49" spans="1:4" x14ac:dyDescent="0.2">
      <c r="A49" t="s">
        <v>52</v>
      </c>
      <c r="B49" t="s">
        <v>53</v>
      </c>
      <c r="C49" s="17">
        <f>1-(C16/C4)</f>
        <v>0.98640000000000005</v>
      </c>
    </row>
    <row r="50" spans="1:4" x14ac:dyDescent="0.2">
      <c r="B50" s="3" t="s">
        <v>76</v>
      </c>
      <c r="C50" s="17">
        <f>(1/C3)^2*(C37/C16)*C49</f>
        <v>151.6737557919038</v>
      </c>
      <c r="D50" t="s">
        <v>77</v>
      </c>
    </row>
    <row r="51" spans="1:4" x14ac:dyDescent="0.2">
      <c r="B51" s="3"/>
      <c r="C51" s="17"/>
    </row>
    <row r="52" spans="1:4" x14ac:dyDescent="0.2">
      <c r="A52" t="s">
        <v>29</v>
      </c>
      <c r="B52" s="3" t="s">
        <v>78</v>
      </c>
      <c r="C52" s="17">
        <v>2.1190000000000002</v>
      </c>
    </row>
    <row r="53" spans="1:4" x14ac:dyDescent="0.2">
      <c r="B53" s="3"/>
      <c r="C53" s="17"/>
    </row>
    <row r="54" spans="1:4" x14ac:dyDescent="0.2">
      <c r="A54" t="s">
        <v>54</v>
      </c>
      <c r="B54" s="3"/>
      <c r="C54" s="18">
        <f>C52*SQRT(C50)</f>
        <v>26.096735101930488</v>
      </c>
      <c r="D54" t="s">
        <v>88</v>
      </c>
    </row>
    <row r="55" spans="1:4" x14ac:dyDescent="0.2">
      <c r="A55" t="s">
        <v>55</v>
      </c>
      <c r="B55" s="3"/>
      <c r="C55">
        <f>ROUNDUP((C54/C47)*100,0)</f>
        <v>9</v>
      </c>
      <c r="D55" t="s">
        <v>37</v>
      </c>
    </row>
    <row r="56" spans="1:4" x14ac:dyDescent="0.2">
      <c r="B56" s="3"/>
    </row>
    <row r="57" spans="1:4" x14ac:dyDescent="0.2">
      <c r="B57" s="3"/>
    </row>
    <row r="63" spans="1:4" x14ac:dyDescent="0.2">
      <c r="A63" s="14" t="s">
        <v>56</v>
      </c>
    </row>
    <row r="64" spans="1:4" x14ac:dyDescent="0.2">
      <c r="B64" s="10" t="s">
        <v>39</v>
      </c>
      <c r="C64">
        <v>5</v>
      </c>
    </row>
    <row r="65" spans="2:4" x14ac:dyDescent="0.2">
      <c r="B65" s="3" t="s">
        <v>40</v>
      </c>
      <c r="C65">
        <f>((SQRT(C37))/C47)*100</f>
        <v>6.3001239075154745</v>
      </c>
    </row>
    <row r="66" spans="2:4" x14ac:dyDescent="0.2">
      <c r="C66" s="12"/>
      <c r="D66" s="12"/>
    </row>
    <row r="67" spans="2:4" x14ac:dyDescent="0.2">
      <c r="B67" s="13" t="s">
        <v>41</v>
      </c>
      <c r="C67" s="13" t="s">
        <v>42</v>
      </c>
      <c r="D67" s="13" t="s">
        <v>43</v>
      </c>
    </row>
    <row r="68" spans="2:4" x14ac:dyDescent="0.2">
      <c r="B68" s="12">
        <v>1</v>
      </c>
      <c r="C68" s="12">
        <v>2.1190000000000002</v>
      </c>
      <c r="D68" s="12">
        <f>_xlfn.CEILING.MATH(((C68^2*$C$65^2*$C$4)/($C$64^2*$C$4)+(C68^2*$C$65^2)))</f>
        <v>186</v>
      </c>
    </row>
    <row r="69" spans="2:4" x14ac:dyDescent="0.2">
      <c r="B69" s="12">
        <v>2</v>
      </c>
      <c r="C69" s="12">
        <v>2.0089999999999999</v>
      </c>
      <c r="D69" s="12">
        <f>_xlfn.CEILING.MATH(((C69^2*$C$65^2*$C$4)/($C$64^2*$C$4)+(C69^2*$C$65^2)))</f>
        <v>167</v>
      </c>
    </row>
    <row r="70" spans="2:4" x14ac:dyDescent="0.2">
      <c r="B70" s="12">
        <v>3</v>
      </c>
      <c r="C70" s="12">
        <v>2.0139999999999998</v>
      </c>
      <c r="D70" s="12">
        <f>_xlfn.CEILING.MATH(((C70^2*$C$65^2*$C$4)/($C$64^2*$C$4)+(C70^2*$C$65^2)))</f>
        <v>168</v>
      </c>
    </row>
    <row r="71" spans="2:4" x14ac:dyDescent="0.2">
      <c r="B71" s="12">
        <v>4</v>
      </c>
      <c r="C71" s="12">
        <v>2.0139999999999998</v>
      </c>
      <c r="D71" s="12">
        <f>_xlfn.CEILING.MATH(((C71^2*$C$65^2*$C$4)/($C$64^2*$C$4)+(C71^2*$C$65^2)))</f>
        <v>168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A6A1-0F28-4FAF-8C8A-4E0F0D118E67}">
  <dimension ref="A1:I32"/>
  <sheetViews>
    <sheetView workbookViewId="0">
      <selection activeCell="I27" sqref="I27"/>
    </sheetView>
  </sheetViews>
  <sheetFormatPr defaultRowHeight="12.75" x14ac:dyDescent="0.2"/>
  <cols>
    <col min="7" max="7" width="11.42578125" customWidth="1"/>
  </cols>
  <sheetData>
    <row r="1" spans="1:7" x14ac:dyDescent="0.2">
      <c r="A1" s="48" t="s">
        <v>6</v>
      </c>
      <c r="B1" s="48"/>
      <c r="C1" s="48"/>
      <c r="D1" s="48"/>
    </row>
    <row r="10" spans="1:7" x14ac:dyDescent="0.2">
      <c r="A10" s="22" t="s">
        <v>79</v>
      </c>
    </row>
    <row r="11" spans="1:7" x14ac:dyDescent="0.2">
      <c r="A11" s="47" t="s">
        <v>25</v>
      </c>
      <c r="B11" s="47"/>
      <c r="C11" s="47"/>
      <c r="D11" s="47"/>
      <c r="E11" s="3" t="s">
        <v>82</v>
      </c>
      <c r="F11">
        <v>334.041</v>
      </c>
      <c r="G11" t="s">
        <v>88</v>
      </c>
    </row>
    <row r="12" spans="1:7" x14ac:dyDescent="0.2">
      <c r="A12" s="47" t="s">
        <v>80</v>
      </c>
      <c r="B12" s="47"/>
      <c r="C12" s="47"/>
      <c r="D12" s="47"/>
      <c r="E12" s="3" t="s">
        <v>84</v>
      </c>
      <c r="F12">
        <v>214.279</v>
      </c>
      <c r="G12" t="s">
        <v>89</v>
      </c>
    </row>
    <row r="13" spans="1:7" x14ac:dyDescent="0.2">
      <c r="A13" t="s">
        <v>81</v>
      </c>
      <c r="E13" s="24" t="s">
        <v>83</v>
      </c>
      <c r="F13">
        <v>1323</v>
      </c>
    </row>
    <row r="16" spans="1:7" x14ac:dyDescent="0.2">
      <c r="A16" s="22" t="s">
        <v>79</v>
      </c>
    </row>
    <row r="17" spans="1:9" x14ac:dyDescent="0.2">
      <c r="A17" s="23" t="s">
        <v>25</v>
      </c>
      <c r="B17" s="23"/>
      <c r="C17" s="23"/>
      <c r="D17" s="23"/>
      <c r="E17" s="25" t="s">
        <v>82</v>
      </c>
      <c r="F17">
        <v>324.6116107931316</v>
      </c>
      <c r="G17" t="s">
        <v>88</v>
      </c>
    </row>
    <row r="18" spans="1:9" x14ac:dyDescent="0.2">
      <c r="A18" s="23" t="s">
        <v>80</v>
      </c>
      <c r="B18" s="23"/>
      <c r="C18" s="23"/>
      <c r="D18" s="23"/>
      <c r="E18" s="25" t="s">
        <v>84</v>
      </c>
      <c r="F18">
        <v>151.6737557919038</v>
      </c>
      <c r="G18" t="s">
        <v>89</v>
      </c>
    </row>
    <row r="19" spans="1:9" x14ac:dyDescent="0.2">
      <c r="A19" t="s">
        <v>81</v>
      </c>
      <c r="E19" s="24" t="s">
        <v>83</v>
      </c>
      <c r="F19">
        <v>168</v>
      </c>
    </row>
    <row r="30" spans="1:9" x14ac:dyDescent="0.2">
      <c r="A30" s="22" t="s">
        <v>15</v>
      </c>
    </row>
    <row r="31" spans="1:9" x14ac:dyDescent="0.2">
      <c r="A31" s="21" t="s">
        <v>85</v>
      </c>
      <c r="F31" s="25" t="s">
        <v>90</v>
      </c>
      <c r="G31" s="25"/>
      <c r="H31">
        <f>ROUNDUP((F18/F12)*100,0)</f>
        <v>71</v>
      </c>
      <c r="I31" t="s">
        <v>37</v>
      </c>
    </row>
    <row r="32" spans="1:9" x14ac:dyDescent="0.2">
      <c r="A32" s="21" t="s">
        <v>86</v>
      </c>
      <c r="F32" s="25" t="s">
        <v>87</v>
      </c>
      <c r="G32" s="25"/>
      <c r="H32">
        <f>ROUNDUP((F19/F13)*100,0)</f>
        <v>13</v>
      </c>
      <c r="I32" t="s">
        <v>37</v>
      </c>
    </row>
  </sheetData>
  <mergeCells count="3">
    <mergeCell ref="A12:D12"/>
    <mergeCell ref="A11:D11"/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zoomScale="96" zoomScaleNormal="96" workbookViewId="0">
      <selection activeCell="L5" sqref="L5"/>
    </sheetView>
  </sheetViews>
  <sheetFormatPr defaultColWidth="11.5703125" defaultRowHeight="12.75" x14ac:dyDescent="0.2"/>
  <cols>
    <col min="10" max="10" width="22.7109375" bestFit="1" customWidth="1"/>
  </cols>
  <sheetData>
    <row r="1" spans="1:18" ht="23.65" customHeight="1" x14ac:dyDescent="0.2">
      <c r="A1" s="46" t="s">
        <v>7</v>
      </c>
      <c r="B1" s="46"/>
      <c r="C1" s="46"/>
      <c r="D1" s="46"/>
      <c r="E1" s="46"/>
      <c r="F1" s="46"/>
      <c r="G1" s="46"/>
    </row>
    <row r="2" spans="1:18" ht="23.65" customHeight="1" x14ac:dyDescent="0.2">
      <c r="A2" s="46" t="s">
        <v>8</v>
      </c>
      <c r="B2" s="46"/>
      <c r="C2" s="46"/>
      <c r="D2" s="46"/>
      <c r="E2" s="46"/>
      <c r="F2" s="46"/>
      <c r="G2" s="46"/>
    </row>
    <row r="3" spans="1:18" ht="23.65" customHeight="1" x14ac:dyDescent="0.2">
      <c r="A3" s="46" t="s">
        <v>9</v>
      </c>
      <c r="B3" s="46"/>
      <c r="C3" s="46"/>
      <c r="D3" s="46"/>
      <c r="E3" s="46"/>
      <c r="F3" s="46"/>
      <c r="G3" s="46"/>
    </row>
    <row r="4" spans="1:18" x14ac:dyDescent="0.2">
      <c r="I4">
        <v>5.08</v>
      </c>
      <c r="J4" s="30">
        <v>157.90790000000001</v>
      </c>
      <c r="K4">
        <v>1000</v>
      </c>
      <c r="L4">
        <v>100000</v>
      </c>
    </row>
    <row r="5" spans="1:18" ht="38.25" x14ac:dyDescent="0.2">
      <c r="B5" s="1" t="s">
        <v>10</v>
      </c>
      <c r="C5" s="1" t="s">
        <v>103</v>
      </c>
      <c r="D5" s="1" t="s">
        <v>106</v>
      </c>
      <c r="E5" s="1" t="s">
        <v>11</v>
      </c>
      <c r="G5" s="37" t="s">
        <v>117</v>
      </c>
      <c r="H5" s="37" t="s">
        <v>118</v>
      </c>
    </row>
    <row r="6" spans="1:18" ht="15" x14ac:dyDescent="0.2">
      <c r="B6" s="2">
        <v>105</v>
      </c>
      <c r="C6" s="2">
        <f>Q6/$L$4</f>
        <v>0.10385999999999999</v>
      </c>
      <c r="D6" s="2">
        <f>R6/$K$4</f>
        <v>0.42332999999999998</v>
      </c>
      <c r="E6" s="2">
        <v>26</v>
      </c>
      <c r="G6">
        <f>E6/$J$4</f>
        <v>0.16465294009989365</v>
      </c>
      <c r="H6">
        <f>E6/$I$4</f>
        <v>5.1181102362204722</v>
      </c>
      <c r="J6" s="36">
        <f>AVERAGE(G6:G35)</f>
        <v>0.19061744219256918</v>
      </c>
      <c r="Q6" s="2">
        <f>10386</f>
        <v>10386</v>
      </c>
      <c r="R6" s="2">
        <v>423.33</v>
      </c>
    </row>
    <row r="7" spans="1:18" ht="15" x14ac:dyDescent="0.2">
      <c r="B7" s="2">
        <v>172</v>
      </c>
      <c r="C7" s="2">
        <f t="shared" ref="C7:C35" si="0">Q7/$L$4</f>
        <v>0.10269</v>
      </c>
      <c r="D7" s="2">
        <f t="shared" ref="D7:D35" si="1">R7/$K$4</f>
        <v>0.41419</v>
      </c>
      <c r="E7" s="2">
        <v>15</v>
      </c>
      <c r="G7">
        <f t="shared" ref="G7:G35" si="2">E7/$J$4</f>
        <v>9.4992080826861724E-2</v>
      </c>
      <c r="H7">
        <f t="shared" ref="H7:H35" si="3">E7/$I$4</f>
        <v>2.9527559055118111</v>
      </c>
      <c r="J7" s="36"/>
      <c r="Q7" s="2">
        <v>10269</v>
      </c>
      <c r="R7" s="2">
        <v>414.19</v>
      </c>
    </row>
    <row r="8" spans="1:18" x14ac:dyDescent="0.2">
      <c r="B8" s="2">
        <v>2062</v>
      </c>
      <c r="C8" s="2">
        <f t="shared" si="0"/>
        <v>0.36553999999999998</v>
      </c>
      <c r="D8" s="2">
        <f t="shared" si="1"/>
        <v>1.1760999999999999</v>
      </c>
      <c r="E8" s="2">
        <v>30</v>
      </c>
      <c r="G8">
        <f t="shared" si="2"/>
        <v>0.18998416165372345</v>
      </c>
      <c r="H8">
        <f t="shared" si="3"/>
        <v>5.9055118110236222</v>
      </c>
      <c r="Q8" s="2">
        <v>36554</v>
      </c>
      <c r="R8" s="2">
        <v>1176.0999999999999</v>
      </c>
    </row>
    <row r="9" spans="1:18" x14ac:dyDescent="0.2">
      <c r="B9" s="2">
        <v>26355</v>
      </c>
      <c r="C9" s="2">
        <f t="shared" si="0"/>
        <v>0.12953000000000001</v>
      </c>
      <c r="D9" s="2">
        <f t="shared" si="1"/>
        <v>0.45073000000000002</v>
      </c>
      <c r="E9" s="2">
        <v>25</v>
      </c>
      <c r="G9">
        <f t="shared" si="2"/>
        <v>0.15832013471143622</v>
      </c>
      <c r="H9">
        <f t="shared" si="3"/>
        <v>4.9212598425196852</v>
      </c>
      <c r="Q9" s="2">
        <v>12953</v>
      </c>
      <c r="R9" s="2">
        <v>450.73</v>
      </c>
    </row>
    <row r="10" spans="1:18" x14ac:dyDescent="0.2">
      <c r="B10" s="2">
        <v>33592</v>
      </c>
      <c r="C10" s="2">
        <f t="shared" si="0"/>
        <v>9.393E-2</v>
      </c>
      <c r="D10" s="2">
        <f t="shared" si="1"/>
        <v>0.39291000000000004</v>
      </c>
      <c r="E10" s="2">
        <v>19</v>
      </c>
      <c r="G10">
        <f t="shared" si="2"/>
        <v>0.12032330238069153</v>
      </c>
      <c r="H10">
        <f t="shared" si="3"/>
        <v>3.7401574803149606</v>
      </c>
      <c r="Q10" s="2">
        <v>9393</v>
      </c>
      <c r="R10" s="2">
        <v>392.91</v>
      </c>
    </row>
    <row r="11" spans="1:18" ht="15" x14ac:dyDescent="0.2">
      <c r="B11" s="2">
        <v>43007</v>
      </c>
      <c r="C11" s="2">
        <f t="shared" si="0"/>
        <v>0.24703</v>
      </c>
      <c r="D11" s="2">
        <f t="shared" si="1"/>
        <v>0.66295000000000004</v>
      </c>
      <c r="E11" s="2">
        <v>43</v>
      </c>
      <c r="G11">
        <f t="shared" si="2"/>
        <v>0.27231063170367026</v>
      </c>
      <c r="H11">
        <f t="shared" si="3"/>
        <v>8.4645669291338574</v>
      </c>
      <c r="J11" s="36"/>
      <c r="Q11" s="2">
        <v>24703</v>
      </c>
      <c r="R11" s="2">
        <v>662.95</v>
      </c>
    </row>
    <row r="12" spans="1:18" ht="15" x14ac:dyDescent="0.2">
      <c r="B12" s="2">
        <v>47173</v>
      </c>
      <c r="C12" s="2">
        <f t="shared" si="0"/>
        <v>7.2050000000000003E-2</v>
      </c>
      <c r="D12" s="2">
        <f t="shared" si="1"/>
        <v>0.35082999999999998</v>
      </c>
      <c r="E12" s="2">
        <v>13</v>
      </c>
      <c r="G12">
        <f t="shared" si="2"/>
        <v>8.2326470049946823E-2</v>
      </c>
      <c r="H12">
        <f t="shared" si="3"/>
        <v>2.5590551181102361</v>
      </c>
      <c r="J12" s="36"/>
      <c r="Q12" s="2">
        <v>7205</v>
      </c>
      <c r="R12" s="2">
        <v>350.83</v>
      </c>
    </row>
    <row r="13" spans="1:18" x14ac:dyDescent="0.2">
      <c r="B13" s="2">
        <v>47480</v>
      </c>
      <c r="C13" s="2">
        <f t="shared" si="0"/>
        <v>0.1618</v>
      </c>
      <c r="D13" s="2">
        <f t="shared" si="1"/>
        <v>0.52093</v>
      </c>
      <c r="E13" s="2">
        <v>38</v>
      </c>
      <c r="G13">
        <f t="shared" si="2"/>
        <v>0.24064660476138305</v>
      </c>
      <c r="H13">
        <f t="shared" si="3"/>
        <v>7.4803149606299213</v>
      </c>
      <c r="Q13" s="2">
        <v>16180</v>
      </c>
      <c r="R13" s="2">
        <v>520.92999999999995</v>
      </c>
    </row>
    <row r="14" spans="1:18" x14ac:dyDescent="0.2">
      <c r="B14" s="2">
        <v>47510</v>
      </c>
      <c r="C14" s="2">
        <f t="shared" si="0"/>
        <v>0.20591999999999999</v>
      </c>
      <c r="D14" s="2">
        <f t="shared" si="1"/>
        <v>0.60333000000000003</v>
      </c>
      <c r="E14" s="2">
        <v>18</v>
      </c>
      <c r="G14">
        <f t="shared" si="2"/>
        <v>0.11399049699223407</v>
      </c>
      <c r="H14">
        <f t="shared" si="3"/>
        <v>3.5433070866141732</v>
      </c>
      <c r="J14">
        <f>AVERAGE(C6:C35)</f>
        <v>0.20173199999999999</v>
      </c>
      <c r="Q14" s="2">
        <v>20592</v>
      </c>
      <c r="R14" s="2">
        <v>603.33000000000004</v>
      </c>
    </row>
    <row r="15" spans="1:18" x14ac:dyDescent="0.2">
      <c r="B15" s="2">
        <v>47562</v>
      </c>
      <c r="C15" s="2">
        <f t="shared" si="0"/>
        <v>0.23654</v>
      </c>
      <c r="D15" s="2">
        <f t="shared" si="1"/>
        <v>0.62450000000000006</v>
      </c>
      <c r="E15" s="2">
        <v>23</v>
      </c>
      <c r="G15">
        <f t="shared" si="2"/>
        <v>0.1456545239345213</v>
      </c>
      <c r="H15">
        <f t="shared" si="3"/>
        <v>4.5275590551181102</v>
      </c>
      <c r="Q15" s="2">
        <v>23654</v>
      </c>
      <c r="R15" s="2">
        <v>624.5</v>
      </c>
    </row>
    <row r="16" spans="1:18" ht="15" x14ac:dyDescent="0.2">
      <c r="B16" s="2">
        <v>47622</v>
      </c>
      <c r="C16" s="2">
        <f t="shared" si="0"/>
        <v>2.826E-2</v>
      </c>
      <c r="D16" s="2">
        <f t="shared" si="1"/>
        <v>0.28782000000000002</v>
      </c>
      <c r="E16" s="2">
        <v>4</v>
      </c>
      <c r="G16">
        <f t="shared" si="2"/>
        <v>2.5331221553829792E-2</v>
      </c>
      <c r="H16">
        <f t="shared" si="3"/>
        <v>0.78740157480314954</v>
      </c>
      <c r="J16" s="36"/>
      <c r="Q16" s="2">
        <v>2826</v>
      </c>
      <c r="R16" s="2">
        <v>287.82</v>
      </c>
    </row>
    <row r="17" spans="2:18" ht="15" x14ac:dyDescent="0.2">
      <c r="B17" s="2">
        <v>47659</v>
      </c>
      <c r="C17" s="2">
        <f t="shared" si="0"/>
        <v>0.11901</v>
      </c>
      <c r="D17" s="2">
        <f t="shared" si="1"/>
        <v>0.54579</v>
      </c>
      <c r="E17" s="2">
        <v>33</v>
      </c>
      <c r="G17">
        <f t="shared" si="2"/>
        <v>0.20898257781909579</v>
      </c>
      <c r="H17">
        <f t="shared" si="3"/>
        <v>6.4960629921259843</v>
      </c>
      <c r="J17" s="36"/>
      <c r="Q17" s="2">
        <v>11901</v>
      </c>
      <c r="R17" s="2">
        <v>545.79</v>
      </c>
    </row>
    <row r="18" spans="2:18" x14ac:dyDescent="0.2">
      <c r="B18" s="2">
        <v>47661</v>
      </c>
      <c r="C18" s="2">
        <f t="shared" si="0"/>
        <v>0.25829000000000002</v>
      </c>
      <c r="D18" s="2">
        <f t="shared" si="1"/>
        <v>0.80159000000000002</v>
      </c>
      <c r="E18" s="2">
        <v>31</v>
      </c>
      <c r="G18">
        <f t="shared" si="2"/>
        <v>0.19631696704218091</v>
      </c>
      <c r="H18">
        <f t="shared" si="3"/>
        <v>6.1023622047244093</v>
      </c>
      <c r="Q18" s="2">
        <v>25829</v>
      </c>
      <c r="R18" s="2">
        <v>801.59</v>
      </c>
    </row>
    <row r="19" spans="2:18" x14ac:dyDescent="0.2">
      <c r="B19" s="2">
        <v>47711</v>
      </c>
      <c r="C19" s="2">
        <f t="shared" si="0"/>
        <v>0.17266999999999999</v>
      </c>
      <c r="D19" s="2">
        <f t="shared" si="1"/>
        <v>0.54028999999999994</v>
      </c>
      <c r="E19" s="2">
        <v>25</v>
      </c>
      <c r="G19">
        <f t="shared" si="2"/>
        <v>0.15832013471143622</v>
      </c>
      <c r="H19">
        <f t="shared" si="3"/>
        <v>4.9212598425196852</v>
      </c>
      <c r="Q19" s="2">
        <v>17267</v>
      </c>
      <c r="R19" s="2">
        <v>540.29</v>
      </c>
    </row>
    <row r="20" spans="2:18" x14ac:dyDescent="0.2">
      <c r="B20" s="2">
        <v>47940</v>
      </c>
      <c r="C20" s="2">
        <f t="shared" si="0"/>
        <v>4.2290000000000001E-2</v>
      </c>
      <c r="D20" s="2">
        <f t="shared" si="1"/>
        <v>0.26036999999999999</v>
      </c>
      <c r="E20" s="2">
        <v>19</v>
      </c>
      <c r="G20">
        <f t="shared" si="2"/>
        <v>0.12032330238069153</v>
      </c>
      <c r="H20">
        <f t="shared" si="3"/>
        <v>3.7401574803149606</v>
      </c>
      <c r="Q20" s="2">
        <v>4229</v>
      </c>
      <c r="R20" s="2">
        <v>260.37</v>
      </c>
    </row>
    <row r="21" spans="2:18" ht="15" x14ac:dyDescent="0.2">
      <c r="B21" s="2">
        <v>47975</v>
      </c>
      <c r="C21" s="2">
        <f t="shared" si="0"/>
        <v>0.23089000000000001</v>
      </c>
      <c r="D21" s="2">
        <f t="shared" si="1"/>
        <v>0.61609000000000003</v>
      </c>
      <c r="E21" s="2">
        <v>23</v>
      </c>
      <c r="G21">
        <f t="shared" si="2"/>
        <v>0.1456545239345213</v>
      </c>
      <c r="H21">
        <f t="shared" si="3"/>
        <v>4.5275590551181102</v>
      </c>
      <c r="J21" s="36"/>
      <c r="Q21" s="2">
        <v>23089</v>
      </c>
      <c r="R21" s="2">
        <v>616.09</v>
      </c>
    </row>
    <row r="22" spans="2:18" ht="15" x14ac:dyDescent="0.2">
      <c r="B22" s="2">
        <v>48025</v>
      </c>
      <c r="C22" s="2">
        <f t="shared" si="0"/>
        <v>0.33589999999999998</v>
      </c>
      <c r="D22" s="2">
        <f t="shared" si="1"/>
        <v>1.05074</v>
      </c>
      <c r="E22" s="2">
        <v>48</v>
      </c>
      <c r="G22">
        <f t="shared" si="2"/>
        <v>0.30397465864595752</v>
      </c>
      <c r="H22">
        <f t="shared" si="3"/>
        <v>9.4488188976377945</v>
      </c>
      <c r="J22" s="36"/>
      <c r="Q22" s="2">
        <v>33590</v>
      </c>
      <c r="R22" s="2">
        <v>1050.74</v>
      </c>
    </row>
    <row r="23" spans="2:18" x14ac:dyDescent="0.2">
      <c r="B23" s="2">
        <v>48128</v>
      </c>
      <c r="C23" s="2">
        <f t="shared" si="0"/>
        <v>0.39634000000000003</v>
      </c>
      <c r="D23" s="2">
        <f t="shared" si="1"/>
        <v>1.37903</v>
      </c>
      <c r="E23" s="2">
        <v>45</v>
      </c>
      <c r="G23">
        <f t="shared" si="2"/>
        <v>0.28497624248058517</v>
      </c>
      <c r="H23">
        <f t="shared" si="3"/>
        <v>8.8582677165354333</v>
      </c>
      <c r="Q23" s="2">
        <v>39634</v>
      </c>
      <c r="R23" s="2">
        <v>1379.03</v>
      </c>
    </row>
    <row r="24" spans="2:18" x14ac:dyDescent="0.2">
      <c r="B24" s="2">
        <v>48143</v>
      </c>
      <c r="C24" s="2">
        <f t="shared" si="0"/>
        <v>5.5590000000000001E-2</v>
      </c>
      <c r="D24" s="2">
        <f t="shared" si="1"/>
        <v>0.33417000000000002</v>
      </c>
      <c r="E24" s="2">
        <v>11</v>
      </c>
      <c r="G24">
        <f t="shared" si="2"/>
        <v>6.9660859273031936E-2</v>
      </c>
      <c r="H24">
        <f t="shared" si="3"/>
        <v>2.1653543307086616</v>
      </c>
      <c r="Q24" s="2">
        <v>5559</v>
      </c>
      <c r="R24" s="2">
        <v>334.17</v>
      </c>
    </row>
    <row r="25" spans="2:18" x14ac:dyDescent="0.2">
      <c r="B25" s="2">
        <v>48149</v>
      </c>
      <c r="C25" s="2">
        <f t="shared" si="0"/>
        <v>0.27246999999999999</v>
      </c>
      <c r="D25" s="2">
        <f t="shared" si="1"/>
        <v>0.67803999999999998</v>
      </c>
      <c r="E25" s="2">
        <v>44</v>
      </c>
      <c r="G25">
        <f t="shared" si="2"/>
        <v>0.27864343709212774</v>
      </c>
      <c r="H25">
        <f t="shared" si="3"/>
        <v>8.6614173228346463</v>
      </c>
      <c r="Q25" s="2">
        <v>27247</v>
      </c>
      <c r="R25" s="2">
        <v>678.04</v>
      </c>
    </row>
    <row r="26" spans="2:18" x14ac:dyDescent="0.2">
      <c r="B26" s="2">
        <v>48211</v>
      </c>
      <c r="C26" s="2">
        <f t="shared" si="0"/>
        <v>0.1346</v>
      </c>
      <c r="D26" s="2">
        <f t="shared" si="1"/>
        <v>0.65036000000000005</v>
      </c>
      <c r="E26" s="2">
        <v>13</v>
      </c>
      <c r="G26">
        <f t="shared" si="2"/>
        <v>8.2326470049946823E-2</v>
      </c>
      <c r="H26">
        <f t="shared" si="3"/>
        <v>2.5590551181102361</v>
      </c>
      <c r="Q26" s="2">
        <v>13460</v>
      </c>
      <c r="R26" s="2">
        <v>650.36</v>
      </c>
    </row>
    <row r="27" spans="2:18" x14ac:dyDescent="0.2">
      <c r="B27" s="2">
        <v>48511</v>
      </c>
      <c r="C27" s="2">
        <f t="shared" si="0"/>
        <v>3.6209999999999999E-2</v>
      </c>
      <c r="D27" s="2">
        <f t="shared" si="1"/>
        <v>0.36832999999999999</v>
      </c>
      <c r="E27" s="2">
        <v>26</v>
      </c>
      <c r="G27">
        <f t="shared" si="2"/>
        <v>0.16465294009989365</v>
      </c>
      <c r="H27">
        <f t="shared" si="3"/>
        <v>5.1181102362204722</v>
      </c>
      <c r="Q27" s="2">
        <v>3621</v>
      </c>
      <c r="R27" s="2">
        <v>368.33</v>
      </c>
    </row>
    <row r="28" spans="2:18" x14ac:dyDescent="0.2">
      <c r="B28" s="2">
        <v>48523</v>
      </c>
      <c r="C28" s="2">
        <f t="shared" si="0"/>
        <v>0.46159</v>
      </c>
      <c r="D28" s="2">
        <f t="shared" si="1"/>
        <v>0.90234000000000003</v>
      </c>
      <c r="E28" s="2">
        <v>98</v>
      </c>
      <c r="G28">
        <f t="shared" si="2"/>
        <v>0.6206149280688299</v>
      </c>
      <c r="H28">
        <f t="shared" si="3"/>
        <v>19.291338582677167</v>
      </c>
      <c r="Q28" s="2">
        <v>46159</v>
      </c>
      <c r="R28" s="2">
        <v>902.34</v>
      </c>
    </row>
    <row r="29" spans="2:18" x14ac:dyDescent="0.2">
      <c r="B29" s="2">
        <v>48524</v>
      </c>
      <c r="C29" s="2">
        <f t="shared" si="0"/>
        <v>0.18228</v>
      </c>
      <c r="D29" s="2">
        <f t="shared" si="1"/>
        <v>0.53460000000000008</v>
      </c>
      <c r="E29" s="2">
        <v>40</v>
      </c>
      <c r="G29">
        <f t="shared" si="2"/>
        <v>0.25331221553829791</v>
      </c>
      <c r="H29">
        <f t="shared" si="3"/>
        <v>7.8740157480314963</v>
      </c>
      <c r="Q29" s="2">
        <v>18228</v>
      </c>
      <c r="R29" s="2">
        <v>534.6</v>
      </c>
    </row>
    <row r="30" spans="2:18" x14ac:dyDescent="0.2">
      <c r="B30" s="2">
        <v>50018</v>
      </c>
      <c r="C30" s="2">
        <f t="shared" si="0"/>
        <v>0.72804999999999997</v>
      </c>
      <c r="D30" s="2">
        <f t="shared" si="1"/>
        <v>1.20065</v>
      </c>
      <c r="E30" s="2">
        <v>37</v>
      </c>
      <c r="G30">
        <f t="shared" si="2"/>
        <v>0.2343137993729256</v>
      </c>
      <c r="H30">
        <f t="shared" si="3"/>
        <v>7.2834645669291334</v>
      </c>
      <c r="Q30" s="2">
        <v>72805</v>
      </c>
      <c r="R30" s="2">
        <v>1200.6500000000001</v>
      </c>
    </row>
    <row r="31" spans="2:18" x14ac:dyDescent="0.2">
      <c r="B31" s="2">
        <v>50061</v>
      </c>
      <c r="C31" s="2">
        <f t="shared" si="0"/>
        <v>0.35010999999999998</v>
      </c>
      <c r="D31" s="2">
        <f t="shared" si="1"/>
        <v>1.0775299999999999</v>
      </c>
      <c r="E31" s="2">
        <v>47</v>
      </c>
      <c r="G31">
        <f t="shared" si="2"/>
        <v>0.29764185325750009</v>
      </c>
      <c r="H31">
        <f t="shared" si="3"/>
        <v>9.2519685039370074</v>
      </c>
      <c r="Q31" s="2">
        <v>35011</v>
      </c>
      <c r="R31" s="2">
        <v>1077.53</v>
      </c>
    </row>
    <row r="32" spans="2:18" x14ac:dyDescent="0.2">
      <c r="B32" s="2">
        <v>50372</v>
      </c>
      <c r="C32" s="2">
        <f t="shared" si="0"/>
        <v>2.554E-2</v>
      </c>
      <c r="D32" s="2">
        <f t="shared" si="1"/>
        <v>0.20909</v>
      </c>
      <c r="E32" s="2">
        <v>8</v>
      </c>
      <c r="G32">
        <f t="shared" si="2"/>
        <v>5.0662443107659584E-2</v>
      </c>
      <c r="H32">
        <f t="shared" si="3"/>
        <v>1.5748031496062991</v>
      </c>
      <c r="Q32" s="2">
        <v>2554</v>
      </c>
      <c r="R32" s="2">
        <v>209.09</v>
      </c>
    </row>
    <row r="33" spans="1:18" x14ac:dyDescent="0.2">
      <c r="B33" s="2">
        <v>52782</v>
      </c>
      <c r="C33" s="2">
        <f t="shared" si="0"/>
        <v>0.25767000000000001</v>
      </c>
      <c r="D33" s="2">
        <f t="shared" si="1"/>
        <v>0.91388000000000003</v>
      </c>
      <c r="E33" s="2">
        <v>30</v>
      </c>
      <c r="G33">
        <f t="shared" si="2"/>
        <v>0.18998416165372345</v>
      </c>
      <c r="H33">
        <f t="shared" si="3"/>
        <v>5.9055118110236222</v>
      </c>
      <c r="Q33" s="2">
        <v>25767</v>
      </c>
      <c r="R33" s="2">
        <v>913.88</v>
      </c>
    </row>
    <row r="34" spans="1:18" x14ac:dyDescent="0.2">
      <c r="B34" s="2">
        <v>58477</v>
      </c>
      <c r="C34" s="2">
        <f t="shared" si="0"/>
        <v>0.14366999999999999</v>
      </c>
      <c r="D34" s="2">
        <f t="shared" si="1"/>
        <v>0.47760000000000002</v>
      </c>
      <c r="E34" s="2">
        <v>47</v>
      </c>
      <c r="G34">
        <f t="shared" si="2"/>
        <v>0.29764185325750009</v>
      </c>
      <c r="H34">
        <f t="shared" si="3"/>
        <v>9.2519685039370074</v>
      </c>
      <c r="Q34" s="2">
        <v>14367</v>
      </c>
      <c r="R34" s="2">
        <v>477.6</v>
      </c>
    </row>
    <row r="35" spans="1:18" x14ac:dyDescent="0.2">
      <c r="B35" s="2">
        <v>59564</v>
      </c>
      <c r="C35" s="2">
        <f t="shared" si="0"/>
        <v>0.10163999999999999</v>
      </c>
      <c r="D35" s="2">
        <f t="shared" si="1"/>
        <v>0.50229999999999997</v>
      </c>
      <c r="E35" s="2">
        <v>24</v>
      </c>
      <c r="G35">
        <f t="shared" si="2"/>
        <v>0.15198732932297876</v>
      </c>
      <c r="H35">
        <f t="shared" si="3"/>
        <v>4.7244094488188972</v>
      </c>
      <c r="Q35" s="2">
        <v>10164</v>
      </c>
      <c r="R35" s="2">
        <v>502.3</v>
      </c>
    </row>
    <row r="37" spans="1:18" x14ac:dyDescent="0.2">
      <c r="A37" t="s">
        <v>12</v>
      </c>
    </row>
    <row r="38" spans="1:18" x14ac:dyDescent="0.2">
      <c r="A38" t="s">
        <v>13</v>
      </c>
    </row>
    <row r="39" spans="1:18" x14ac:dyDescent="0.2">
      <c r="A39" t="s">
        <v>14</v>
      </c>
    </row>
  </sheetData>
  <mergeCells count="3">
    <mergeCell ref="A1:G1"/>
    <mergeCell ref="A2:G2"/>
    <mergeCell ref="A3:G3"/>
  </mergeCells>
  <pageMargins left="0.78749999999999998" right="0.78749999999999998" top="1.2749999999999999" bottom="1.05277777777778" header="0.78749999999999998" footer="0.78749999999999998"/>
  <pageSetup paperSize="9" firstPageNumber="0" orientation="portrait" horizontalDpi="300" verticalDpi="300" r:id="rId1"/>
  <headerFooter>
    <oddHeader>&amp;C&amp;"Times New Roman,Negrito"&amp;16LCF0510 Inventario Florestal - 2021 - Aula 11
&amp;"Times New Roman,Regular"&amp;12&amp;A</oddHeader>
    <oddFooter>&amp;C&amp;"Times New Roman,Itálico"&amp;12 22/11/2021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46EF-271F-4EFE-815F-2D6CB601AC79}">
  <dimension ref="A1:L27"/>
  <sheetViews>
    <sheetView topLeftCell="A4" workbookViewId="0">
      <selection activeCell="F19" sqref="F19"/>
    </sheetView>
  </sheetViews>
  <sheetFormatPr defaultRowHeight="12.75" x14ac:dyDescent="0.2"/>
  <cols>
    <col min="1" max="1" width="25.5703125" customWidth="1"/>
    <col min="3" max="3" width="12.7109375" customWidth="1"/>
    <col min="6" max="6" width="12.85546875" customWidth="1"/>
  </cols>
  <sheetData>
    <row r="1" spans="1:12" ht="15" x14ac:dyDescent="0.2">
      <c r="A1" s="28" t="s">
        <v>91</v>
      </c>
      <c r="B1" s="3"/>
      <c r="C1" s="29"/>
    </row>
    <row r="2" spans="1:12" x14ac:dyDescent="0.2">
      <c r="A2" t="s">
        <v>92</v>
      </c>
      <c r="B2" s="3" t="s">
        <v>23</v>
      </c>
      <c r="C2" s="29">
        <v>275</v>
      </c>
    </row>
    <row r="3" spans="1:12" ht="15.75" x14ac:dyDescent="0.3">
      <c r="A3" t="s">
        <v>93</v>
      </c>
      <c r="B3" s="3" t="s">
        <v>110</v>
      </c>
      <c r="C3" s="30">
        <v>157907.9</v>
      </c>
      <c r="D3" t="s">
        <v>114</v>
      </c>
      <c r="E3">
        <f>C3/1000</f>
        <v>157.90789999999998</v>
      </c>
      <c r="F3" t="s">
        <v>115</v>
      </c>
    </row>
    <row r="4" spans="1:12" ht="15.75" x14ac:dyDescent="0.3">
      <c r="A4" t="s">
        <v>94</v>
      </c>
      <c r="B4" s="25" t="s">
        <v>111</v>
      </c>
      <c r="C4" s="31">
        <f>C3/C2</f>
        <v>574.21054545454547</v>
      </c>
      <c r="D4" t="s">
        <v>114</v>
      </c>
      <c r="E4">
        <f>C4/1000</f>
        <v>0.57421054545454542</v>
      </c>
      <c r="F4" t="s">
        <v>115</v>
      </c>
    </row>
    <row r="5" spans="1:12" ht="15.75" x14ac:dyDescent="0.3">
      <c r="A5" t="s">
        <v>109</v>
      </c>
      <c r="B5" s="25" t="s">
        <v>112</v>
      </c>
      <c r="C5" s="30">
        <v>5079953</v>
      </c>
      <c r="D5" t="s">
        <v>114</v>
      </c>
      <c r="E5">
        <f>C5/1000000</f>
        <v>5.0799529999999997</v>
      </c>
      <c r="F5" t="s">
        <v>116</v>
      </c>
    </row>
    <row r="6" spans="1:12" ht="15.75" x14ac:dyDescent="0.3">
      <c r="A6" t="s">
        <v>94</v>
      </c>
      <c r="B6" s="25" t="s">
        <v>113</v>
      </c>
      <c r="C6" s="31">
        <f>C5/C2</f>
        <v>18472.556363636362</v>
      </c>
      <c r="D6" t="s">
        <v>114</v>
      </c>
      <c r="E6">
        <f>C6/1000000</f>
        <v>1.8472556363636362E-2</v>
      </c>
      <c r="F6" t="s">
        <v>116</v>
      </c>
    </row>
    <row r="8" spans="1:12" x14ac:dyDescent="0.2">
      <c r="A8" s="14" t="s">
        <v>95</v>
      </c>
      <c r="B8" s="3"/>
      <c r="C8" s="4"/>
      <c r="E8" s="14" t="s">
        <v>107</v>
      </c>
      <c r="J8" s="14" t="s">
        <v>108</v>
      </c>
    </row>
    <row r="9" spans="1:12" x14ac:dyDescent="0.2">
      <c r="A9" t="s">
        <v>25</v>
      </c>
      <c r="B9" s="3" t="s">
        <v>32</v>
      </c>
      <c r="C9" s="4">
        <f>AVERAGE('Exercício 2 - Inventário Urbano'!E6:E35)</f>
        <v>30.1</v>
      </c>
      <c r="E9" s="3" t="s">
        <v>32</v>
      </c>
      <c r="F9" s="38">
        <f>ROUNDUP(AVERAGE('Exercício 2 - Inventário Urbano'!G6:G35),3)</f>
        <v>0.191</v>
      </c>
      <c r="G9" t="s">
        <v>96</v>
      </c>
      <c r="J9" s="25" t="s">
        <v>32</v>
      </c>
      <c r="K9" s="32">
        <f>AVERAGE('Exercício 2 - Inventário Urbano'!H6:H35)</f>
        <v>5.9251968503937009</v>
      </c>
      <c r="L9" t="s">
        <v>119</v>
      </c>
    </row>
    <row r="10" spans="1:12" x14ac:dyDescent="0.2">
      <c r="A10" t="s">
        <v>26</v>
      </c>
      <c r="B10" s="3" t="s">
        <v>33</v>
      </c>
      <c r="C10" s="4">
        <f>_xlfn.VAR.S('Exercício 2 - Inventário Urbano'!E6:E35)</f>
        <v>319.4724137931035</v>
      </c>
      <c r="E10" s="3" t="s">
        <v>33</v>
      </c>
      <c r="F10" s="32">
        <f>_xlfn.VAR.S('Exercício 2 - Inventário Urbano'!G6:G35)</f>
        <v>1.2812257167199841E-2</v>
      </c>
      <c r="G10" t="s">
        <v>97</v>
      </c>
      <c r="J10" s="25" t="s">
        <v>33</v>
      </c>
      <c r="K10" s="32">
        <f>_xlfn.VAR.S('Exercício 2 - Inventário Urbano'!H6:H35)</f>
        <v>12.379580793644342</v>
      </c>
      <c r="L10" t="s">
        <v>120</v>
      </c>
    </row>
    <row r="11" spans="1:12" x14ac:dyDescent="0.2">
      <c r="A11" t="s">
        <v>27</v>
      </c>
      <c r="B11" s="3" t="s">
        <v>34</v>
      </c>
      <c r="C11" s="29">
        <f>COUNT('Exercício 2 - Inventário Urbano'!E6:E35)</f>
        <v>30</v>
      </c>
      <c r="F11" s="32"/>
      <c r="K11" s="32"/>
    </row>
    <row r="12" spans="1:12" x14ac:dyDescent="0.2">
      <c r="A12" t="s">
        <v>98</v>
      </c>
      <c r="B12" s="3" t="s">
        <v>99</v>
      </c>
      <c r="C12" s="33">
        <f>1-(C11/C2)</f>
        <v>0.89090909090909087</v>
      </c>
      <c r="F12" s="32"/>
      <c r="K12" s="32"/>
    </row>
    <row r="13" spans="1:12" x14ac:dyDescent="0.2">
      <c r="A13" t="s">
        <v>28</v>
      </c>
      <c r="B13" s="3" t="s">
        <v>35</v>
      </c>
      <c r="C13" s="4">
        <f>(C10/C11)*C12</f>
        <v>9.4873625914315589</v>
      </c>
      <c r="E13" s="3" t="s">
        <v>35</v>
      </c>
      <c r="F13" s="32">
        <f>(F10/C11)*C12</f>
        <v>3.8048521284411648E-4</v>
      </c>
      <c r="G13" t="s">
        <v>97</v>
      </c>
      <c r="J13" s="25" t="s">
        <v>35</v>
      </c>
      <c r="K13" s="32">
        <f>(K10/C11)*C12</f>
        <v>0.36763603569004411</v>
      </c>
      <c r="L13" t="s">
        <v>120</v>
      </c>
    </row>
    <row r="14" spans="1:12" x14ac:dyDescent="0.2">
      <c r="A14" t="s">
        <v>29</v>
      </c>
      <c r="B14" s="3" t="s">
        <v>36</v>
      </c>
      <c r="C14" s="4">
        <v>2.0452296421327101</v>
      </c>
      <c r="F14" s="32"/>
      <c r="K14" s="32"/>
    </row>
    <row r="15" spans="1:12" x14ac:dyDescent="0.2">
      <c r="A15" t="s">
        <v>30</v>
      </c>
      <c r="B15" s="3" t="s">
        <v>100</v>
      </c>
      <c r="C15" s="4">
        <f>C14*(SQRT(C13))</f>
        <v>6.299626887150203</v>
      </c>
      <c r="E15" s="3" t="s">
        <v>100</v>
      </c>
      <c r="F15" s="32">
        <f>C14*(SQRT(F13))</f>
        <v>3.9894311096216252E-2</v>
      </c>
      <c r="G15" t="s">
        <v>96</v>
      </c>
      <c r="J15" s="25" t="s">
        <v>100</v>
      </c>
      <c r="K15" s="32">
        <f>C14*(SQRT(K13))</f>
        <v>1.2400840329035829</v>
      </c>
      <c r="L15" t="s">
        <v>121</v>
      </c>
    </row>
    <row r="16" spans="1:12" x14ac:dyDescent="0.2">
      <c r="A16" t="s">
        <v>101</v>
      </c>
      <c r="B16" s="3" t="s">
        <v>102</v>
      </c>
      <c r="C16" s="34">
        <f>(C15/C9)*100</f>
        <v>20.928992980565457</v>
      </c>
      <c r="D16" t="s">
        <v>37</v>
      </c>
      <c r="E16" s="3" t="s">
        <v>102</v>
      </c>
      <c r="F16" s="35">
        <f>(F15/F9)*100</f>
        <v>20.887073872364528</v>
      </c>
      <c r="G16" t="s">
        <v>37</v>
      </c>
      <c r="J16" s="25" t="s">
        <v>102</v>
      </c>
      <c r="K16" s="35">
        <f>(K15/K9)*100</f>
        <v>20.928992980565454</v>
      </c>
      <c r="L16" t="s">
        <v>37</v>
      </c>
    </row>
    <row r="17" spans="1:4" x14ac:dyDescent="0.2">
      <c r="B17" s="3"/>
      <c r="C17" s="4"/>
    </row>
    <row r="18" spans="1:4" x14ac:dyDescent="0.2">
      <c r="B18" s="3"/>
      <c r="C18" s="4"/>
    </row>
    <row r="19" spans="1:4" x14ac:dyDescent="0.2">
      <c r="A19" s="14" t="s">
        <v>56</v>
      </c>
      <c r="B19" s="3"/>
    </row>
    <row r="20" spans="1:4" x14ac:dyDescent="0.2">
      <c r="B20" s="3" t="s">
        <v>39</v>
      </c>
      <c r="C20">
        <v>5</v>
      </c>
    </row>
    <row r="21" spans="1:4" x14ac:dyDescent="0.2">
      <c r="B21" s="3" t="s">
        <v>57</v>
      </c>
      <c r="C21" s="17">
        <f>(SQRT(C10)/C9)*100</f>
        <v>59.381366292501603</v>
      </c>
    </row>
    <row r="22" spans="1:4" x14ac:dyDescent="0.2">
      <c r="B22" s="3"/>
    </row>
    <row r="23" spans="1:4" x14ac:dyDescent="0.2">
      <c r="B23" s="12" t="s">
        <v>41</v>
      </c>
      <c r="C23" s="12" t="s">
        <v>42</v>
      </c>
      <c r="D23" s="12" t="s">
        <v>43</v>
      </c>
    </row>
    <row r="24" spans="1:4" x14ac:dyDescent="0.2">
      <c r="B24" s="12">
        <v>1</v>
      </c>
      <c r="C24" s="17">
        <v>2.0452296421327101</v>
      </c>
      <c r="D24">
        <f>_xlfn.CEILING.MATH(((C24^2*$C$21^2*$C$2)/($C$20^2*$C$2)+(C24^2*$C$21^2)))</f>
        <v>15340</v>
      </c>
    </row>
    <row r="25" spans="1:4" x14ac:dyDescent="0.2">
      <c r="B25" s="12">
        <v>2</v>
      </c>
      <c r="C25" s="17">
        <v>1.9602057123877001</v>
      </c>
      <c r="D25">
        <f t="shared" ref="D25:D27" si="0">_xlfn.CEILING.MATH(((C25^2*$C$21^2*$C$2)/($C$20^2*$C$2)+(C25^2*$C$21^2)))</f>
        <v>14091</v>
      </c>
    </row>
    <row r="26" spans="1:4" x14ac:dyDescent="0.2">
      <c r="B26" s="12">
        <v>3</v>
      </c>
      <c r="C26" s="17">
        <v>1.96022713719324</v>
      </c>
      <c r="D26">
        <f t="shared" si="0"/>
        <v>14092</v>
      </c>
    </row>
    <row r="27" spans="1:4" x14ac:dyDescent="0.2">
      <c r="B27" s="12">
        <v>4</v>
      </c>
      <c r="C27" s="17">
        <v>1.96022713719324</v>
      </c>
      <c r="D27">
        <f t="shared" si="0"/>
        <v>14092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8E6F-F104-4D30-AC83-0DDFA7B6F0B1}">
  <dimension ref="A1:L88"/>
  <sheetViews>
    <sheetView topLeftCell="A67" workbookViewId="0">
      <selection activeCell="G44" sqref="G44"/>
    </sheetView>
  </sheetViews>
  <sheetFormatPr defaultRowHeight="12.75" x14ac:dyDescent="0.2"/>
  <cols>
    <col min="1" max="1" width="37.42578125" customWidth="1"/>
    <col min="2" max="2" width="15.28515625" customWidth="1"/>
    <col min="3" max="3" width="13.7109375" customWidth="1"/>
    <col min="4" max="4" width="10.85546875" customWidth="1"/>
    <col min="9" max="9" width="17.28515625" customWidth="1"/>
  </cols>
  <sheetData>
    <row r="1" spans="1:12" ht="15" x14ac:dyDescent="0.2">
      <c r="A1" s="28" t="s">
        <v>143</v>
      </c>
    </row>
    <row r="2" spans="1:12" x14ac:dyDescent="0.2">
      <c r="A2" t="s">
        <v>92</v>
      </c>
      <c r="B2" s="25" t="s">
        <v>23</v>
      </c>
      <c r="C2" s="29">
        <v>275</v>
      </c>
      <c r="G2" s="39"/>
    </row>
    <row r="3" spans="1:12" ht="15.75" x14ac:dyDescent="0.3">
      <c r="A3" t="s">
        <v>93</v>
      </c>
      <c r="B3" s="25" t="s">
        <v>110</v>
      </c>
      <c r="C3" s="30">
        <v>157907.9</v>
      </c>
      <c r="D3" t="s">
        <v>114</v>
      </c>
      <c r="E3">
        <f>C3/1000</f>
        <v>157.90789999999998</v>
      </c>
      <c r="F3" t="s">
        <v>115</v>
      </c>
      <c r="G3" s="39"/>
    </row>
    <row r="4" spans="1:12" ht="15.75" x14ac:dyDescent="0.3">
      <c r="A4" t="s">
        <v>94</v>
      </c>
      <c r="B4" s="25" t="s">
        <v>111</v>
      </c>
      <c r="C4" s="31">
        <f>C3/C2</f>
        <v>574.21054545454547</v>
      </c>
      <c r="D4" t="s">
        <v>114</v>
      </c>
      <c r="E4">
        <f>C4/1000</f>
        <v>0.57421054545454542</v>
      </c>
      <c r="F4" t="s">
        <v>115</v>
      </c>
      <c r="G4" s="39"/>
      <c r="H4" s="43" t="s">
        <v>122</v>
      </c>
      <c r="I4" s="44" t="s">
        <v>140</v>
      </c>
      <c r="J4" s="43" t="s">
        <v>123</v>
      </c>
      <c r="K4" s="43" t="s">
        <v>141</v>
      </c>
      <c r="L4" s="43" t="s">
        <v>142</v>
      </c>
    </row>
    <row r="5" spans="1:12" x14ac:dyDescent="0.2">
      <c r="G5" s="39"/>
      <c r="H5" s="2"/>
      <c r="I5" s="45"/>
      <c r="J5" s="20"/>
      <c r="K5" s="20"/>
      <c r="L5" s="20"/>
    </row>
    <row r="6" spans="1:12" x14ac:dyDescent="0.2">
      <c r="A6" s="14" t="s">
        <v>46</v>
      </c>
      <c r="B6" s="25"/>
      <c r="C6" s="4"/>
      <c r="H6" s="2">
        <v>2064</v>
      </c>
      <c r="I6" s="45">
        <f>('Exercício 2 - Inventário Urbano'!E6-($C$14*'Exercício 2 - Inventário Urbano'!D6))^2</f>
        <v>33.966002574878225</v>
      </c>
      <c r="J6" s="20">
        <f>'Exercício 2 - Inventário Urbano'!E6^2</f>
        <v>676</v>
      </c>
      <c r="K6" s="20">
        <f>'Exercício 2 - Inventário Urbano'!D6^2</f>
        <v>0.17920828889999998</v>
      </c>
      <c r="L6" s="20">
        <f>'Exercício 2 - Inventário Urbano'!E6*'Exercício 2 - Inventário Urbano'!D6</f>
        <v>11.00658</v>
      </c>
    </row>
    <row r="7" spans="1:12" ht="15.75" x14ac:dyDescent="0.3">
      <c r="A7" t="s">
        <v>149</v>
      </c>
      <c r="B7" s="25"/>
      <c r="H7" s="2">
        <v>2066</v>
      </c>
      <c r="I7" s="45">
        <f>('Exercício 2 - Inventário Urbano'!E7-($C$14*'Exercício 2 - Inventário Urbano'!D7))^2</f>
        <v>22.433833910764019</v>
      </c>
      <c r="J7" s="20">
        <f>'Exercício 2 - Inventário Urbano'!E7^2</f>
        <v>225</v>
      </c>
      <c r="K7" s="20">
        <f>'Exercício 2 - Inventário Urbano'!D7^2</f>
        <v>0.1715533561</v>
      </c>
      <c r="L7" s="20">
        <f>'Exercício 2 - Inventário Urbano'!E7*'Exercício 2 - Inventário Urbano'!D7</f>
        <v>6.2128500000000004</v>
      </c>
    </row>
    <row r="8" spans="1:12" x14ac:dyDescent="0.2">
      <c r="A8" s="25" t="s">
        <v>47</v>
      </c>
      <c r="B8" s="25" t="s">
        <v>34</v>
      </c>
      <c r="C8">
        <v>30</v>
      </c>
      <c r="H8" s="2">
        <v>42416</v>
      </c>
      <c r="I8" s="45">
        <f>('Exercício 2 - Inventário Urbano'!E8-($C$14*'Exercício 2 - Inventário Urbano'!D8))^2</f>
        <v>678.18417754836673</v>
      </c>
      <c r="J8" s="20">
        <f>'Exercício 2 - Inventário Urbano'!E8^2</f>
        <v>900</v>
      </c>
      <c r="K8" s="20">
        <f>'Exercício 2 - Inventário Urbano'!D8^2</f>
        <v>1.3832112099999998</v>
      </c>
      <c r="L8" s="20">
        <f>'Exercício 2 - Inventário Urbano'!E8*'Exercício 2 - Inventário Urbano'!D8</f>
        <v>35.283000000000001</v>
      </c>
    </row>
    <row r="9" spans="1:12" x14ac:dyDescent="0.2">
      <c r="A9" s="25" t="s">
        <v>48</v>
      </c>
      <c r="B9" s="25" t="s">
        <v>124</v>
      </c>
      <c r="C9" s="17">
        <f>AVERAGE('Exercício 2 - Inventário Urbano'!E6:E35)</f>
        <v>30.1</v>
      </c>
      <c r="D9" t="s">
        <v>125</v>
      </c>
      <c r="H9" s="2">
        <v>44275</v>
      </c>
      <c r="I9" s="45">
        <f>('Exercício 2 - Inventário Urbano'!E9-($C$14*'Exercício 2 - Inventário Urbano'!D9))^2</f>
        <v>12.407352249542431</v>
      </c>
      <c r="J9" s="20">
        <f>'Exercício 2 - Inventário Urbano'!E9^2</f>
        <v>625</v>
      </c>
      <c r="K9" s="20">
        <f>'Exercício 2 - Inventário Urbano'!D9^2</f>
        <v>0.20315753290000002</v>
      </c>
      <c r="L9" s="20">
        <f>'Exercício 2 - Inventário Urbano'!E9*'Exercício 2 - Inventário Urbano'!D9</f>
        <v>11.26825</v>
      </c>
    </row>
    <row r="10" spans="1:12" ht="15.75" x14ac:dyDescent="0.3">
      <c r="B10" s="25" t="s">
        <v>111</v>
      </c>
      <c r="C10" s="17">
        <f>AVERAGE('Exercício 2 - Inventário Urbano'!D6:D35)</f>
        <v>0.63168033333333329</v>
      </c>
      <c r="D10" t="s">
        <v>115</v>
      </c>
      <c r="H10" s="2">
        <v>45028</v>
      </c>
      <c r="I10" s="45">
        <f>('Exercício 2 - Inventário Urbano'!E10-($C$14*'Exercício 2 - Inventário Urbano'!D10))^2</f>
        <v>7.7044949531616544E-2</v>
      </c>
      <c r="J10" s="20">
        <f>'Exercício 2 - Inventário Urbano'!E10^2</f>
        <v>361</v>
      </c>
      <c r="K10" s="20">
        <f>'Exercício 2 - Inventário Urbano'!D10^2</f>
        <v>0.15437826810000002</v>
      </c>
      <c r="L10" s="20">
        <f>'Exercício 2 - Inventário Urbano'!E10*'Exercício 2 - Inventário Urbano'!D10</f>
        <v>7.4652900000000004</v>
      </c>
    </row>
    <row r="11" spans="1:12" x14ac:dyDescent="0.2">
      <c r="B11" s="25"/>
      <c r="C11" s="17"/>
      <c r="H11" s="2">
        <v>45754</v>
      </c>
      <c r="I11" s="45">
        <f>('Exercício 2 - Inventário Urbano'!E11-($C$14*'Exercício 2 - Inventário Urbano'!D11))^2</f>
        <v>130.18762061017998</v>
      </c>
      <c r="J11" s="20">
        <f>'Exercício 2 - Inventário Urbano'!E11^2</f>
        <v>1849</v>
      </c>
      <c r="K11" s="20">
        <f>'Exercício 2 - Inventário Urbano'!D11^2</f>
        <v>0.43950270250000006</v>
      </c>
      <c r="L11" s="20">
        <f>'Exercício 2 - Inventário Urbano'!E11*'Exercício 2 - Inventário Urbano'!D11</f>
        <v>28.50685</v>
      </c>
    </row>
    <row r="12" spans="1:12" x14ac:dyDescent="0.2">
      <c r="H12" s="2">
        <v>47461</v>
      </c>
      <c r="I12" s="45">
        <f>('Exercício 2 - Inventário Urbano'!E12-($C$14*'Exercício 2 - Inventário Urbano'!D12))^2</f>
        <v>13.818241182205702</v>
      </c>
      <c r="J12" s="20">
        <f>'Exercício 2 - Inventário Urbano'!E12^2</f>
        <v>169</v>
      </c>
      <c r="K12" s="20">
        <f>'Exercício 2 - Inventário Urbano'!D12^2</f>
        <v>0.12308168889999999</v>
      </c>
      <c r="L12" s="20">
        <f>'Exercício 2 - Inventário Urbano'!E12*'Exercício 2 - Inventário Urbano'!D12</f>
        <v>4.5607899999999999</v>
      </c>
    </row>
    <row r="13" spans="1:12" x14ac:dyDescent="0.2">
      <c r="H13" s="2">
        <v>47481</v>
      </c>
      <c r="I13" s="45">
        <f>('Exercício 2 - Inventário Urbano'!E13-($C$14*'Exercício 2 - Inventário Urbano'!D13))^2</f>
        <v>173.64200339191217</v>
      </c>
      <c r="J13" s="20">
        <f>'Exercício 2 - Inventário Urbano'!E13^2</f>
        <v>1444</v>
      </c>
      <c r="K13" s="20">
        <f>'Exercício 2 - Inventário Urbano'!D13^2</f>
        <v>0.27136806489999998</v>
      </c>
      <c r="L13" s="20">
        <f>'Exercício 2 - Inventário Urbano'!E13*'Exercício 2 - Inventário Urbano'!D13</f>
        <v>19.795339999999999</v>
      </c>
    </row>
    <row r="14" spans="1:12" x14ac:dyDescent="0.2">
      <c r="A14" s="25" t="s">
        <v>49</v>
      </c>
      <c r="B14" s="25" t="s">
        <v>126</v>
      </c>
      <c r="C14">
        <f>C9/C10</f>
        <v>47.650684074909201</v>
      </c>
      <c r="D14" t="s">
        <v>127</v>
      </c>
      <c r="H14" s="2">
        <v>47597</v>
      </c>
      <c r="I14" s="45">
        <f>('Exercício 2 - Inventário Urbano'!E14-($C$14*'Exercício 2 - Inventário Urbano'!D14))^2</f>
        <v>115.54287612583386</v>
      </c>
      <c r="J14" s="20">
        <f>'Exercício 2 - Inventário Urbano'!E14^2</f>
        <v>324</v>
      </c>
      <c r="K14" s="20">
        <f>'Exercício 2 - Inventário Urbano'!D14^2</f>
        <v>0.36400708890000005</v>
      </c>
      <c r="L14" s="20">
        <f>'Exercício 2 - Inventário Urbano'!E14*'Exercício 2 - Inventário Urbano'!D14</f>
        <v>10.85994</v>
      </c>
    </row>
    <row r="15" spans="1:12" x14ac:dyDescent="0.2">
      <c r="B15" s="25"/>
      <c r="C15" s="17"/>
      <c r="H15" s="2">
        <v>47649</v>
      </c>
      <c r="I15" s="45">
        <f>('Exercício 2 - Inventário Urbano'!E15-($C$14*'Exercício 2 - Inventário Urbano'!D15))^2</f>
        <v>45.668566421660721</v>
      </c>
      <c r="J15" s="20">
        <f>'Exercício 2 - Inventário Urbano'!E15^2</f>
        <v>529</v>
      </c>
      <c r="K15" s="20">
        <f>'Exercício 2 - Inventário Urbano'!D15^2</f>
        <v>0.39000025000000005</v>
      </c>
      <c r="L15" s="20">
        <f>'Exercício 2 - Inventário Urbano'!E15*'Exercício 2 - Inventário Urbano'!D15</f>
        <v>14.363500000000002</v>
      </c>
    </row>
    <row r="16" spans="1:12" x14ac:dyDescent="0.2">
      <c r="A16" s="25" t="s">
        <v>50</v>
      </c>
      <c r="B16" s="25" t="s">
        <v>128</v>
      </c>
      <c r="C16" s="17">
        <f>SUM(J6:J35)</f>
        <v>36445</v>
      </c>
      <c r="H16" s="2">
        <v>47659</v>
      </c>
      <c r="I16" s="45">
        <f>('Exercício 2 - Inventário Urbano'!E16-($C$14*'Exercício 2 - Inventário Urbano'!D16))^2</f>
        <v>94.377725503695785</v>
      </c>
      <c r="J16" s="20">
        <f>'Exercício 2 - Inventário Urbano'!E16^2</f>
        <v>16</v>
      </c>
      <c r="K16" s="20">
        <f>'Exercício 2 - Inventário Urbano'!D16^2</f>
        <v>8.2840352400000011E-2</v>
      </c>
      <c r="L16" s="20">
        <f>'Exercício 2 - Inventário Urbano'!E16*'Exercício 2 - Inventário Urbano'!D16</f>
        <v>1.1512800000000001</v>
      </c>
    </row>
    <row r="17" spans="1:12" x14ac:dyDescent="0.2">
      <c r="B17" s="25" t="s">
        <v>129</v>
      </c>
      <c r="C17" s="17">
        <f>SUM(K6:K35)</f>
        <v>14.6397842939</v>
      </c>
      <c r="H17" s="2">
        <v>47691</v>
      </c>
      <c r="I17" s="45">
        <f>('Exercício 2 - Inventário Urbano'!E17-($C$14*'Exercício 2 - Inventário Urbano'!D17))^2</f>
        <v>48.898316749846671</v>
      </c>
      <c r="J17" s="20">
        <f>'Exercício 2 - Inventário Urbano'!E17^2</f>
        <v>1089</v>
      </c>
      <c r="K17" s="20">
        <f>'Exercício 2 - Inventário Urbano'!D17^2</f>
        <v>0.2978867241</v>
      </c>
      <c r="L17" s="20">
        <f>'Exercício 2 - Inventário Urbano'!E17*'Exercício 2 - Inventário Urbano'!D17</f>
        <v>18.01107</v>
      </c>
    </row>
    <row r="18" spans="1:12" x14ac:dyDescent="0.2">
      <c r="B18" s="25" t="s">
        <v>130</v>
      </c>
      <c r="C18" s="17">
        <f>SUM(L6:L35)</f>
        <v>658.46393999999998</v>
      </c>
      <c r="H18" s="2">
        <v>47724</v>
      </c>
      <c r="I18" s="45">
        <f>('Exercício 2 - Inventário Urbano'!E18-($C$14*'Exercício 2 - Inventário Urbano'!D18))^2</f>
        <v>51.786904208001197</v>
      </c>
      <c r="J18" s="20">
        <f>'Exercício 2 - Inventário Urbano'!E18^2</f>
        <v>961</v>
      </c>
      <c r="K18" s="20">
        <f>'Exercício 2 - Inventário Urbano'!D18^2</f>
        <v>0.64254652810000001</v>
      </c>
      <c r="L18" s="20">
        <f>'Exercício 2 - Inventário Urbano'!E18*'Exercício 2 - Inventário Urbano'!D18</f>
        <v>24.84929</v>
      </c>
    </row>
    <row r="19" spans="1:12" x14ac:dyDescent="0.2">
      <c r="B19" s="25"/>
      <c r="C19" s="17"/>
      <c r="H19" s="2">
        <v>47725</v>
      </c>
      <c r="I19" s="45">
        <f>('Exercício 2 - Inventário Urbano'!E19-($C$14*'Exercício 2 - Inventário Urbano'!D19))^2</f>
        <v>0.55530530264187661</v>
      </c>
      <c r="J19" s="20">
        <f>'Exercício 2 - Inventário Urbano'!E19^2</f>
        <v>625</v>
      </c>
      <c r="K19" s="20">
        <f>'Exercício 2 - Inventário Urbano'!D19^2</f>
        <v>0.29191328409999995</v>
      </c>
      <c r="L19" s="20">
        <f>'Exercício 2 - Inventário Urbano'!E19*'Exercício 2 - Inventário Urbano'!D19</f>
        <v>13.507249999999999</v>
      </c>
    </row>
    <row r="20" spans="1:12" x14ac:dyDescent="0.2">
      <c r="B20" s="25" t="s">
        <v>131</v>
      </c>
      <c r="C20" s="17">
        <f>(SUM(I6:I35))/(C8-1)</f>
        <v>239.08274771571627</v>
      </c>
      <c r="H20" s="2">
        <v>47758</v>
      </c>
      <c r="I20" s="45">
        <f>('Exercício 2 - Inventário Urbano'!E20-($C$14*'Exercício 2 - Inventário Urbano'!D20))^2</f>
        <v>43.470172671095099</v>
      </c>
      <c r="J20" s="20">
        <f>'Exercício 2 - Inventário Urbano'!E20^2</f>
        <v>361</v>
      </c>
      <c r="K20" s="20">
        <f>'Exercício 2 - Inventário Urbano'!D20^2</f>
        <v>6.7792536899999992E-2</v>
      </c>
      <c r="L20" s="20">
        <f>'Exercício 2 - Inventário Urbano'!E20*'Exercício 2 - Inventário Urbano'!D20</f>
        <v>4.9470299999999998</v>
      </c>
    </row>
    <row r="21" spans="1:12" x14ac:dyDescent="0.2">
      <c r="B21" s="25" t="s">
        <v>131</v>
      </c>
      <c r="C21" s="17">
        <f>((C16+((C14^2))*C17)-2*C14*C18)/(C8-1)</f>
        <v>239.08274771571601</v>
      </c>
      <c r="H21" s="2">
        <v>47802</v>
      </c>
      <c r="I21" s="45">
        <f>('Exercício 2 - Inventário Urbano'!E21-($C$14*'Exercício 2 - Inventário Urbano'!D21))^2</f>
        <v>40.412846938140632</v>
      </c>
      <c r="J21" s="20">
        <f>'Exercício 2 - Inventário Urbano'!E21^2</f>
        <v>529</v>
      </c>
      <c r="K21" s="20">
        <f>'Exercício 2 - Inventário Urbano'!D21^2</f>
        <v>0.37956688810000005</v>
      </c>
      <c r="L21" s="20">
        <f>'Exercício 2 - Inventário Urbano'!E21*'Exercício 2 - Inventário Urbano'!D21</f>
        <v>14.170070000000001</v>
      </c>
    </row>
    <row r="22" spans="1:12" x14ac:dyDescent="0.2">
      <c r="B22" s="25"/>
      <c r="H22" s="2">
        <v>47821</v>
      </c>
      <c r="I22" s="45">
        <f>('Exercício 2 - Inventário Urbano'!E22-($C$14*'Exercício 2 - Inventário Urbano'!D22))^2</f>
        <v>4.2786086204162235</v>
      </c>
      <c r="J22" s="20">
        <f>'Exercício 2 - Inventário Urbano'!E22^2</f>
        <v>2304</v>
      </c>
      <c r="K22" s="20">
        <f>'Exercício 2 - Inventário Urbano'!D22^2</f>
        <v>1.1040545476000001</v>
      </c>
      <c r="L22" s="20">
        <f>'Exercício 2 - Inventário Urbano'!E22*'Exercício 2 - Inventário Urbano'!D22</f>
        <v>50.435519999999997</v>
      </c>
    </row>
    <row r="23" spans="1:12" x14ac:dyDescent="0.2">
      <c r="C23" s="17"/>
      <c r="H23" s="2">
        <v>47827</v>
      </c>
      <c r="I23" s="45">
        <f>('Exercício 2 - Inventário Urbano'!E23-($C$14*'Exercício 2 - Inventário Urbano'!D23))^2</f>
        <v>428.97546382207452</v>
      </c>
      <c r="J23" s="20">
        <f>'Exercício 2 - Inventário Urbano'!E23^2</f>
        <v>2025</v>
      </c>
      <c r="K23" s="20">
        <f>'Exercício 2 - Inventário Urbano'!D23^2</f>
        <v>1.9017237408999998</v>
      </c>
      <c r="L23" s="20">
        <f>'Exercício 2 - Inventário Urbano'!E23*'Exercício 2 - Inventário Urbano'!D23</f>
        <v>62.056350000000002</v>
      </c>
    </row>
    <row r="24" spans="1:12" ht="14.25" x14ac:dyDescent="0.2">
      <c r="A24" s="41" t="s">
        <v>132</v>
      </c>
      <c r="C24" s="17"/>
      <c r="H24" s="2">
        <v>47880</v>
      </c>
      <c r="I24" s="45">
        <f>('Exercício 2 - Inventário Urbano'!E24-($C$14*'Exercício 2 - Inventário Urbano'!D24))^2</f>
        <v>24.240154076262485</v>
      </c>
      <c r="J24" s="20">
        <f>'Exercício 2 - Inventário Urbano'!E24^2</f>
        <v>121</v>
      </c>
      <c r="K24" s="20">
        <f>'Exercício 2 - Inventário Urbano'!D24^2</f>
        <v>0.11166958890000002</v>
      </c>
      <c r="L24" s="20">
        <f>'Exercício 2 - Inventário Urbano'!E24*'Exercício 2 - Inventário Urbano'!D24</f>
        <v>3.6758700000000002</v>
      </c>
    </row>
    <row r="25" spans="1:12" x14ac:dyDescent="0.2">
      <c r="A25" t="s">
        <v>133</v>
      </c>
      <c r="B25" s="25" t="s">
        <v>126</v>
      </c>
      <c r="C25" s="40">
        <f>C14</f>
        <v>47.650684074909201</v>
      </c>
      <c r="D25" t="s">
        <v>127</v>
      </c>
      <c r="H25" s="2">
        <v>47949</v>
      </c>
      <c r="I25" s="45">
        <f>('Exercício 2 - Inventário Urbano'!E25-($C$14*'Exercício 2 - Inventário Urbano'!D25))^2</f>
        <v>136.67784823627537</v>
      </c>
      <c r="J25" s="20">
        <f>'Exercício 2 - Inventário Urbano'!E25^2</f>
        <v>1936</v>
      </c>
      <c r="K25" s="20">
        <f>'Exercício 2 - Inventário Urbano'!D25^2</f>
        <v>0.45973824159999999</v>
      </c>
      <c r="L25" s="20">
        <f>'Exercício 2 - Inventário Urbano'!E25*'Exercício 2 - Inventário Urbano'!D25</f>
        <v>29.833759999999998</v>
      </c>
    </row>
    <row r="26" spans="1:12" x14ac:dyDescent="0.2">
      <c r="A26" t="s">
        <v>134</v>
      </c>
      <c r="B26" s="25" t="s">
        <v>135</v>
      </c>
      <c r="C26" s="33">
        <f>1-(C8/C2)</f>
        <v>0.89090909090909087</v>
      </c>
      <c r="H26" s="2">
        <v>47952</v>
      </c>
      <c r="I26" s="45">
        <f>('Exercício 2 - Inventário Urbano'!E26-($C$14*'Exercício 2 - Inventário Urbano'!D26))^2</f>
        <v>323.64365825036725</v>
      </c>
      <c r="J26" s="20">
        <f>'Exercício 2 - Inventário Urbano'!E26^2</f>
        <v>169</v>
      </c>
      <c r="K26" s="20">
        <f>'Exercício 2 - Inventário Urbano'!D26^2</f>
        <v>0.42296812960000008</v>
      </c>
      <c r="L26" s="20">
        <f>'Exercício 2 - Inventário Urbano'!E26*'Exercício 2 - Inventário Urbano'!D26</f>
        <v>8.4546799999999998</v>
      </c>
    </row>
    <row r="27" spans="1:12" x14ac:dyDescent="0.2">
      <c r="A27" t="s">
        <v>136</v>
      </c>
      <c r="B27" s="25" t="s">
        <v>137</v>
      </c>
      <c r="C27" s="31">
        <f>(1/E4)^2*(C21/C8)*C26</f>
        <v>21.533669640089791</v>
      </c>
      <c r="D27" t="s">
        <v>138</v>
      </c>
      <c r="H27" s="2">
        <v>47972</v>
      </c>
      <c r="I27" s="45">
        <f>('Exercício 2 - Inventário Urbano'!E27-($C$14*'Exercício 2 - Inventário Urbano'!D27))^2</f>
        <v>71.382619120309585</v>
      </c>
      <c r="J27" s="20">
        <f>'Exercício 2 - Inventário Urbano'!E27^2</f>
        <v>676</v>
      </c>
      <c r="K27" s="20">
        <f>'Exercício 2 - Inventário Urbano'!D27^2</f>
        <v>0.13566698889999998</v>
      </c>
      <c r="L27" s="20">
        <f>'Exercício 2 - Inventário Urbano'!E27*'Exercício 2 - Inventário Urbano'!D27</f>
        <v>9.5765799999999999</v>
      </c>
    </row>
    <row r="28" spans="1:12" x14ac:dyDescent="0.2">
      <c r="B28" s="25"/>
      <c r="C28" s="17"/>
      <c r="H28" s="2">
        <v>48054</v>
      </c>
      <c r="I28" s="45">
        <f>('Exercício 2 - Inventário Urbano'!E28-($C$14*'Exercício 2 - Inventário Urbano'!D28))^2</f>
        <v>3025.3169988074856</v>
      </c>
      <c r="J28" s="20">
        <f>'Exercício 2 - Inventário Urbano'!E28^2</f>
        <v>9604</v>
      </c>
      <c r="K28" s="20">
        <f>'Exercício 2 - Inventário Urbano'!D28^2</f>
        <v>0.81421747560000002</v>
      </c>
      <c r="L28" s="20">
        <f>'Exercício 2 - Inventário Urbano'!E28*'Exercício 2 - Inventário Urbano'!D28</f>
        <v>88.429320000000004</v>
      </c>
    </row>
    <row r="29" spans="1:12" x14ac:dyDescent="0.2">
      <c r="A29" t="s">
        <v>29</v>
      </c>
      <c r="B29" s="25" t="s">
        <v>36</v>
      </c>
      <c r="C29" s="17">
        <v>2.0452296421327101</v>
      </c>
      <c r="H29" s="2">
        <v>48506</v>
      </c>
      <c r="I29" s="45">
        <f>('Exercício 2 - Inventário Urbano'!E29-($C$14*'Exercício 2 - Inventário Urbano'!D29))^2</f>
        <v>211.00305761942053</v>
      </c>
      <c r="J29" s="20">
        <f>'Exercício 2 - Inventário Urbano'!E29^2</f>
        <v>1600</v>
      </c>
      <c r="K29" s="20">
        <f>'Exercício 2 - Inventário Urbano'!D29^2</f>
        <v>0.28579716000000011</v>
      </c>
      <c r="L29" s="20">
        <f>'Exercício 2 - Inventário Urbano'!E29*'Exercício 2 - Inventário Urbano'!D29</f>
        <v>21.384000000000004</v>
      </c>
    </row>
    <row r="30" spans="1:12" x14ac:dyDescent="0.2">
      <c r="B30" s="25"/>
      <c r="C30" s="17"/>
      <c r="H30" s="2">
        <v>48639</v>
      </c>
      <c r="I30" s="45">
        <f>('Exercício 2 - Inventário Urbano'!E30-($C$14*'Exercício 2 - Inventário Urbano'!D30))^2</f>
        <v>408.5166100099384</v>
      </c>
      <c r="J30" s="20">
        <f>'Exercício 2 - Inventário Urbano'!E30^2</f>
        <v>1369</v>
      </c>
      <c r="K30" s="20">
        <f>'Exercício 2 - Inventário Urbano'!D30^2</f>
        <v>1.4415604225</v>
      </c>
      <c r="L30" s="20">
        <f>'Exercício 2 - Inventário Urbano'!E30*'Exercício 2 - Inventário Urbano'!D30</f>
        <v>44.424050000000001</v>
      </c>
    </row>
    <row r="31" spans="1:12" x14ac:dyDescent="0.2">
      <c r="A31" t="s">
        <v>30</v>
      </c>
      <c r="B31" s="25" t="s">
        <v>100</v>
      </c>
      <c r="C31" s="31">
        <f>C29*SQRT(C27)</f>
        <v>9.4907624096736463</v>
      </c>
      <c r="D31" t="s">
        <v>127</v>
      </c>
      <c r="H31" s="2">
        <v>50423</v>
      </c>
      <c r="I31" s="45">
        <f>('Exercício 2 - Inventário Urbano'!E31-($C$14*'Exercício 2 - Inventário Urbano'!D31))^2</f>
        <v>18.87938660338023</v>
      </c>
      <c r="J31" s="20">
        <f>'Exercício 2 - Inventário Urbano'!E31^2</f>
        <v>2209</v>
      </c>
      <c r="K31" s="20">
        <f>'Exercício 2 - Inventário Urbano'!D31^2</f>
        <v>1.1610709008999998</v>
      </c>
      <c r="L31" s="20">
        <f>'Exercício 2 - Inventário Urbano'!E31*'Exercício 2 - Inventário Urbano'!D31</f>
        <v>50.643909999999991</v>
      </c>
    </row>
    <row r="32" spans="1:12" x14ac:dyDescent="0.2">
      <c r="A32" t="s">
        <v>101</v>
      </c>
      <c r="B32" s="25" t="s">
        <v>139</v>
      </c>
      <c r="C32" s="35">
        <f>(C31/C14)*100</f>
        <v>19.917368646279463</v>
      </c>
      <c r="D32" t="s">
        <v>37</v>
      </c>
      <c r="H32" s="2">
        <v>50923</v>
      </c>
      <c r="I32" s="45">
        <f>('Exercício 2 - Inventário Urbano'!E32-($C$14*'Exercício 2 - Inventário Urbano'!D32))^2</f>
        <v>3.8544743786935269</v>
      </c>
      <c r="J32" s="20">
        <f>'Exercício 2 - Inventário Urbano'!E32^2</f>
        <v>64</v>
      </c>
      <c r="K32" s="20">
        <f>'Exercício 2 - Inventário Urbano'!D32^2</f>
        <v>4.3718628099999997E-2</v>
      </c>
      <c r="L32" s="20">
        <f>'Exercício 2 - Inventário Urbano'!E32*'Exercício 2 - Inventário Urbano'!D32</f>
        <v>1.67272</v>
      </c>
    </row>
    <row r="33" spans="1:12" x14ac:dyDescent="0.2">
      <c r="B33" s="25"/>
      <c r="H33" s="2">
        <v>53375</v>
      </c>
      <c r="I33" s="45">
        <f>('Exercício 2 - Inventário Urbano'!E33-($C$14*'Exercício 2 - Inventário Urbano'!D33))^2</f>
        <v>183.52140305752144</v>
      </c>
      <c r="J33" s="20">
        <f>'Exercício 2 - Inventário Urbano'!E33^2</f>
        <v>900</v>
      </c>
      <c r="K33" s="20">
        <f>'Exercício 2 - Inventário Urbano'!D33^2</f>
        <v>0.8351766544</v>
      </c>
      <c r="L33" s="20">
        <f>'Exercício 2 - Inventário Urbano'!E33*'Exercício 2 - Inventário Urbano'!D33</f>
        <v>27.416399999999999</v>
      </c>
    </row>
    <row r="34" spans="1:12" x14ac:dyDescent="0.2">
      <c r="B34" s="25"/>
      <c r="H34" s="2">
        <v>55238</v>
      </c>
      <c r="I34" s="45">
        <f>('Exercício 2 - Inventário Urbano'!E34-($C$14*'Exercício 2 - Inventário Urbano'!D34))^2</f>
        <v>587.67617783096796</v>
      </c>
      <c r="J34" s="20">
        <f>'Exercício 2 - Inventário Urbano'!E34^2</f>
        <v>2209</v>
      </c>
      <c r="K34" s="20">
        <f>'Exercício 2 - Inventário Urbano'!D34^2</f>
        <v>0.22810176000000001</v>
      </c>
      <c r="L34" s="20">
        <f>'Exercício 2 - Inventário Urbano'!E34*'Exercício 2 - Inventário Urbano'!D34</f>
        <v>22.447200000000002</v>
      </c>
    </row>
    <row r="35" spans="1:12" x14ac:dyDescent="0.2">
      <c r="A35" s="14" t="s">
        <v>56</v>
      </c>
      <c r="B35" s="25"/>
      <c r="H35" s="2">
        <v>59547</v>
      </c>
      <c r="I35" s="45">
        <f>('Exercício 2 - Inventário Urbano'!E35-($C$14*'Exercício 2 - Inventário Urbano'!D35))^2</f>
        <v>4.2329843611348455E-3</v>
      </c>
      <c r="J35" s="20">
        <f>'Exercício 2 - Inventário Urbano'!E35^2</f>
        <v>576</v>
      </c>
      <c r="K35" s="20">
        <f>'Exercício 2 - Inventário Urbano'!D35^2</f>
        <v>0.25230528999999996</v>
      </c>
      <c r="L35" s="20">
        <f>'Exercício 2 - Inventário Urbano'!E35*'Exercício 2 - Inventário Urbano'!D35</f>
        <v>12.055199999999999</v>
      </c>
    </row>
    <row r="36" spans="1:12" x14ac:dyDescent="0.2">
      <c r="B36" s="25" t="s">
        <v>39</v>
      </c>
      <c r="C36">
        <v>5</v>
      </c>
    </row>
    <row r="37" spans="1:12" x14ac:dyDescent="0.2">
      <c r="B37" s="25" t="s">
        <v>57</v>
      </c>
      <c r="C37" s="17">
        <f>((SQRT(C20))/C25)*100</f>
        <v>32.449273614232609</v>
      </c>
    </row>
    <row r="38" spans="1:12" x14ac:dyDescent="0.2">
      <c r="B38" s="25"/>
    </row>
    <row r="39" spans="1:12" x14ac:dyDescent="0.2">
      <c r="B39" s="12" t="s">
        <v>41</v>
      </c>
      <c r="C39" s="12" t="s">
        <v>42</v>
      </c>
      <c r="D39" s="12" t="s">
        <v>43</v>
      </c>
    </row>
    <row r="40" spans="1:12" x14ac:dyDescent="0.2">
      <c r="B40" s="12">
        <v>1</v>
      </c>
      <c r="C40" s="42">
        <v>2.0452296421327101</v>
      </c>
      <c r="D40" s="12">
        <f>_xlfn.CEILING.MATH(((C40^2*$C$37^2*$C$2)/($C$36^2*$C$2)+(C40^2*$C$37^2)))</f>
        <v>4581</v>
      </c>
      <c r="F40" s="12"/>
    </row>
    <row r="41" spans="1:12" x14ac:dyDescent="0.2">
      <c r="B41" s="12">
        <v>2</v>
      </c>
      <c r="C41" s="42">
        <v>1.9804475986834</v>
      </c>
      <c r="D41" s="12">
        <f>_xlfn.CEILING.MATH(((C41^2*$C$37^2*$C$2)/($C$36^2*$C$2)+(C41^2*$C$37^2)))</f>
        <v>4296</v>
      </c>
      <c r="F41" s="12"/>
    </row>
    <row r="42" spans="1:12" x14ac:dyDescent="0.2">
      <c r="B42" s="12">
        <v>3</v>
      </c>
      <c r="C42" s="42">
        <v>1.98118035941466</v>
      </c>
      <c r="D42" s="12">
        <f>_xlfn.CEILING.MATH(((C42^2*$C$37^2*$C$2)/($C$36^2*$C$2)+(C42^2*$C$37^2)))</f>
        <v>4299</v>
      </c>
      <c r="F42" s="12"/>
      <c r="G42" s="39"/>
    </row>
    <row r="43" spans="1:12" x14ac:dyDescent="0.2">
      <c r="B43" s="12">
        <v>4</v>
      </c>
      <c r="C43" s="42">
        <v>1.98118035941466</v>
      </c>
      <c r="D43" s="12">
        <f>_xlfn.CEILING.MATH(((C43^2*$C$37^2*$C$2)/($C$36^2*$C$2)+(C43^2*$C$37^2)))</f>
        <v>4299</v>
      </c>
      <c r="F43" s="12"/>
      <c r="G43" s="39"/>
    </row>
    <row r="44" spans="1:12" x14ac:dyDescent="0.2">
      <c r="B44" s="12"/>
      <c r="C44" s="42"/>
      <c r="D44" s="12"/>
      <c r="F44" s="12"/>
      <c r="G44" s="39"/>
    </row>
    <row r="45" spans="1:12" ht="14.25" x14ac:dyDescent="0.2">
      <c r="A45" s="41"/>
      <c r="C45" s="42"/>
      <c r="D45" s="12"/>
      <c r="F45" s="12"/>
      <c r="G45" s="39"/>
    </row>
    <row r="46" spans="1:12" ht="15" x14ac:dyDescent="0.2">
      <c r="A46" s="28" t="s">
        <v>144</v>
      </c>
    </row>
    <row r="47" spans="1:12" x14ac:dyDescent="0.2">
      <c r="A47" t="s">
        <v>92</v>
      </c>
      <c r="B47" s="25" t="s">
        <v>23</v>
      </c>
      <c r="C47" s="29">
        <v>275</v>
      </c>
    </row>
    <row r="48" spans="1:12" ht="15.75" x14ac:dyDescent="0.3">
      <c r="A48" t="s">
        <v>109</v>
      </c>
      <c r="B48" s="25" t="s">
        <v>112</v>
      </c>
      <c r="C48" s="30">
        <v>5079953</v>
      </c>
      <c r="D48" t="s">
        <v>114</v>
      </c>
      <c r="E48">
        <f>C48/1000000</f>
        <v>5.0799529999999997</v>
      </c>
      <c r="F48" t="s">
        <v>116</v>
      </c>
    </row>
    <row r="49" spans="1:12" ht="15.75" x14ac:dyDescent="0.3">
      <c r="A49" t="s">
        <v>94</v>
      </c>
      <c r="B49" s="25" t="s">
        <v>113</v>
      </c>
      <c r="C49" s="31">
        <f>C48/C47</f>
        <v>18472.556363636362</v>
      </c>
      <c r="D49" t="s">
        <v>114</v>
      </c>
      <c r="E49">
        <f>C49/10000</f>
        <v>1.8472556363636363</v>
      </c>
      <c r="F49" t="s">
        <v>116</v>
      </c>
      <c r="H49" s="43" t="s">
        <v>122</v>
      </c>
      <c r="I49" s="44" t="s">
        <v>145</v>
      </c>
      <c r="J49" s="43" t="s">
        <v>123</v>
      </c>
      <c r="K49" s="43" t="s">
        <v>146</v>
      </c>
      <c r="L49" s="43" t="s">
        <v>147</v>
      </c>
    </row>
    <row r="50" spans="1:12" x14ac:dyDescent="0.2">
      <c r="H50" s="2"/>
      <c r="I50" s="45"/>
      <c r="J50" s="20"/>
      <c r="K50" s="20"/>
      <c r="L50" s="20"/>
    </row>
    <row r="51" spans="1:12" x14ac:dyDescent="0.2">
      <c r="A51" s="14" t="s">
        <v>46</v>
      </c>
      <c r="B51" s="25"/>
      <c r="C51" s="4"/>
      <c r="H51" s="2">
        <v>2064</v>
      </c>
      <c r="I51" s="45">
        <f>('Exercício 2 - Inventário Urbano'!E6-($C$59*'Exercício 2 - Inventário Urbano'!C6))^2</f>
        <v>110.31871571838111</v>
      </c>
      <c r="J51" s="20">
        <f>'Exercício 2 - Inventário Urbano'!E6^2</f>
        <v>676</v>
      </c>
      <c r="K51" s="20">
        <f>'Exercício 2 - Inventário Urbano'!C6^2</f>
        <v>1.0786899599999998E-2</v>
      </c>
      <c r="L51" s="20">
        <f>'Exercício 2 - Inventário Urbano'!E6*'Exercício 2 - Inventário Urbano'!C6</f>
        <v>2.7003599999999999</v>
      </c>
    </row>
    <row r="52" spans="1:12" ht="15.75" x14ac:dyDescent="0.3">
      <c r="A52" t="s">
        <v>148</v>
      </c>
      <c r="B52" s="25"/>
      <c r="H52" s="2">
        <v>2066</v>
      </c>
      <c r="I52" s="45">
        <f>('Exercício 2 - Inventário Urbano'!E7-($C$59*'Exercício 2 - Inventário Urbano'!C7))^2</f>
        <v>0.10378393198477498</v>
      </c>
      <c r="J52" s="20">
        <f>'Exercício 2 - Inventário Urbano'!E7^2</f>
        <v>225</v>
      </c>
      <c r="K52" s="20">
        <f>'Exercício 2 - Inventário Urbano'!C7^2</f>
        <v>1.0545236100000001E-2</v>
      </c>
      <c r="L52" s="20">
        <f>'Exercício 2 - Inventário Urbano'!E7*'Exercício 2 - Inventário Urbano'!C7</f>
        <v>1.5403500000000001</v>
      </c>
    </row>
    <row r="53" spans="1:12" x14ac:dyDescent="0.2">
      <c r="A53" s="25" t="s">
        <v>47</v>
      </c>
      <c r="B53" s="25" t="s">
        <v>34</v>
      </c>
      <c r="C53">
        <v>30</v>
      </c>
      <c r="H53" s="2">
        <v>42416</v>
      </c>
      <c r="I53" s="45">
        <f>('Exercício 2 - Inventário Urbano'!E8-($C$59*'Exercício 2 - Inventário Urbano'!C8))^2</f>
        <v>602.28233224159953</v>
      </c>
      <c r="J53" s="20">
        <f>'Exercício 2 - Inventário Urbano'!E8^2</f>
        <v>900</v>
      </c>
      <c r="K53" s="20">
        <f>'Exercício 2 - Inventário Urbano'!C8^2</f>
        <v>0.13361949159999997</v>
      </c>
      <c r="L53" s="20">
        <f>'Exercício 2 - Inventário Urbano'!E8*'Exercício 2 - Inventário Urbano'!C8</f>
        <v>10.966199999999999</v>
      </c>
    </row>
    <row r="54" spans="1:12" x14ac:dyDescent="0.2">
      <c r="A54" s="25" t="s">
        <v>48</v>
      </c>
      <c r="B54" s="25" t="s">
        <v>124</v>
      </c>
      <c r="C54" s="17">
        <f>C9</f>
        <v>30.1</v>
      </c>
      <c r="D54" t="s">
        <v>125</v>
      </c>
      <c r="H54" s="2">
        <v>44275</v>
      </c>
      <c r="I54" s="45">
        <f>('Exercício 2 - Inventário Urbano'!E9-($C$59*'Exercício 2 - Inventário Urbano'!C9))^2</f>
        <v>32.184130585303791</v>
      </c>
      <c r="J54" s="20">
        <f>'Exercício 2 - Inventário Urbano'!E9^2</f>
        <v>625</v>
      </c>
      <c r="K54" s="20">
        <f>'Exercício 2 - Inventário Urbano'!C9^2</f>
        <v>1.6778020900000003E-2</v>
      </c>
      <c r="L54" s="20">
        <f>'Exercício 2 - Inventário Urbano'!E9*'Exercício 2 - Inventário Urbano'!C9</f>
        <v>3.2382500000000003</v>
      </c>
    </row>
    <row r="55" spans="1:12" ht="15.75" x14ac:dyDescent="0.3">
      <c r="B55" s="25" t="s">
        <v>113</v>
      </c>
      <c r="C55" s="17">
        <f>AVERAGE('Exercício 2 - Inventário Urbano'!C6:C35)</f>
        <v>0.20173199999999999</v>
      </c>
      <c r="D55" t="s">
        <v>116</v>
      </c>
      <c r="H55" s="2">
        <v>45028</v>
      </c>
      <c r="I55" s="45">
        <f>('Exercício 2 - Inventário Urbano'!E10-($C$59*'Exercício 2 - Inventário Urbano'!C10))^2</f>
        <v>24.849285002346033</v>
      </c>
      <c r="J55" s="20">
        <f>'Exercício 2 - Inventário Urbano'!E10^2</f>
        <v>361</v>
      </c>
      <c r="K55" s="20">
        <f>'Exercício 2 - Inventário Urbano'!C10^2</f>
        <v>8.8228448999999997E-3</v>
      </c>
      <c r="L55" s="20">
        <f>'Exercício 2 - Inventário Urbano'!E10*'Exercício 2 - Inventário Urbano'!C10</f>
        <v>1.78467</v>
      </c>
    </row>
    <row r="56" spans="1:12" x14ac:dyDescent="0.2">
      <c r="C56" s="17"/>
      <c r="H56" s="2">
        <v>45754</v>
      </c>
      <c r="I56" s="45">
        <f>('Exercício 2 - Inventário Urbano'!E11-($C$59*'Exercício 2 - Inventário Urbano'!C11))^2</f>
        <v>37.714120788058779</v>
      </c>
      <c r="J56" s="20">
        <f>'Exercício 2 - Inventário Urbano'!E11^2</f>
        <v>1849</v>
      </c>
      <c r="K56" s="20">
        <f>'Exercício 2 - Inventário Urbano'!C11^2</f>
        <v>6.1023820899999998E-2</v>
      </c>
      <c r="L56" s="20">
        <f>'Exercício 2 - Inventário Urbano'!E11*'Exercício 2 - Inventário Urbano'!C11</f>
        <v>10.62229</v>
      </c>
    </row>
    <row r="57" spans="1:12" x14ac:dyDescent="0.2">
      <c r="H57" s="2">
        <v>47461</v>
      </c>
      <c r="I57" s="45">
        <f>('Exercício 2 - Inventário Urbano'!E12-($C$59*'Exercício 2 - Inventário Urbano'!C12))^2</f>
        <v>5.0605817949680825</v>
      </c>
      <c r="J57" s="20">
        <f>'Exercício 2 - Inventário Urbano'!E12^2</f>
        <v>169</v>
      </c>
      <c r="K57" s="20">
        <f>'Exercício 2 - Inventário Urbano'!C12^2</f>
        <v>5.1912025000000004E-3</v>
      </c>
      <c r="L57" s="20">
        <f>'Exercício 2 - Inventário Urbano'!E12*'Exercício 2 - Inventário Urbano'!C12</f>
        <v>0.93664999999999998</v>
      </c>
    </row>
    <row r="58" spans="1:12" x14ac:dyDescent="0.2">
      <c r="H58" s="2">
        <v>47481</v>
      </c>
      <c r="I58" s="45">
        <f>('Exercício 2 - Inventário Urbano'!E13-($C$59*'Exercício 2 - Inventário Urbano'!C13))^2</f>
        <v>192.04882760129038</v>
      </c>
      <c r="J58" s="20">
        <f>'Exercício 2 - Inventário Urbano'!E13^2</f>
        <v>1444</v>
      </c>
      <c r="K58" s="20">
        <f>'Exercício 2 - Inventário Urbano'!C13^2</f>
        <v>2.6179239999999999E-2</v>
      </c>
      <c r="L58" s="20">
        <f>'Exercício 2 - Inventário Urbano'!E13*'Exercício 2 - Inventário Urbano'!C13</f>
        <v>6.1483999999999996</v>
      </c>
    </row>
    <row r="59" spans="1:12" x14ac:dyDescent="0.2">
      <c r="A59" s="25" t="s">
        <v>49</v>
      </c>
      <c r="B59" s="25" t="s">
        <v>126</v>
      </c>
      <c r="C59">
        <f>C54/C55</f>
        <v>149.2078599329804</v>
      </c>
      <c r="D59" t="s">
        <v>150</v>
      </c>
      <c r="H59" s="2">
        <v>47597</v>
      </c>
      <c r="I59" s="45">
        <f>('Exercício 2 - Inventário Urbano'!E14-($C$59*'Exercício 2 - Inventário Urbano'!C14))^2</f>
        <v>161.92263508161491</v>
      </c>
      <c r="J59" s="20">
        <f>'Exercício 2 - Inventário Urbano'!E14^2</f>
        <v>324</v>
      </c>
      <c r="K59" s="20">
        <f>'Exercício 2 - Inventário Urbano'!C14^2</f>
        <v>4.2403046399999998E-2</v>
      </c>
      <c r="L59" s="20">
        <f>'Exercício 2 - Inventário Urbano'!E14*'Exercício 2 - Inventário Urbano'!C14</f>
        <v>3.7065599999999996</v>
      </c>
    </row>
    <row r="60" spans="1:12" x14ac:dyDescent="0.2">
      <c r="B60" s="25"/>
      <c r="C60" s="17"/>
      <c r="H60" s="2">
        <v>47649</v>
      </c>
      <c r="I60" s="45">
        <f>('Exercício 2 - Inventário Urbano'!E15-($C$59*'Exercício 2 - Inventário Urbano'!C15))^2</f>
        <v>151.13326945098655</v>
      </c>
      <c r="J60" s="20">
        <f>'Exercício 2 - Inventário Urbano'!E15^2</f>
        <v>529</v>
      </c>
      <c r="K60" s="20">
        <f>'Exercício 2 - Inventário Urbano'!C15^2</f>
        <v>5.5951171600000002E-2</v>
      </c>
      <c r="L60" s="20">
        <f>'Exercício 2 - Inventário Urbano'!E15*'Exercício 2 - Inventário Urbano'!C15</f>
        <v>5.4404199999999996</v>
      </c>
    </row>
    <row r="61" spans="1:12" x14ac:dyDescent="0.2">
      <c r="A61" s="25" t="s">
        <v>50</v>
      </c>
      <c r="B61" s="25" t="s">
        <v>128</v>
      </c>
      <c r="C61" s="17">
        <f>SUM(J51:J80)</f>
        <v>36445</v>
      </c>
      <c r="H61" s="2">
        <v>47659</v>
      </c>
      <c r="I61" s="45">
        <f>('Exercício 2 - Inventário Urbano'!E16-($C$59*'Exercício 2 - Inventário Urbano'!C16))^2</f>
        <v>4.6921677722473243E-2</v>
      </c>
      <c r="J61" s="20">
        <f>'Exercício 2 - Inventário Urbano'!E16^2</f>
        <v>16</v>
      </c>
      <c r="K61" s="20">
        <f>'Exercício 2 - Inventário Urbano'!C16^2</f>
        <v>7.9862759999999998E-4</v>
      </c>
      <c r="L61" s="20">
        <f>'Exercício 2 - Inventário Urbano'!E16*'Exercício 2 - Inventário Urbano'!C16</f>
        <v>0.11304</v>
      </c>
    </row>
    <row r="62" spans="1:12" x14ac:dyDescent="0.2">
      <c r="B62" s="25" t="s">
        <v>129</v>
      </c>
      <c r="C62" s="17">
        <f>SUM(K51:K80)</f>
        <v>1.9015059701999999</v>
      </c>
      <c r="H62" s="2">
        <v>47691</v>
      </c>
      <c r="I62" s="45">
        <f>('Exercício 2 - Inventário Urbano'!E17-($C$59*'Exercício 2 - Inventário Urbano'!C17))^2</f>
        <v>232.3421162114324</v>
      </c>
      <c r="J62" s="20">
        <f>'Exercício 2 - Inventário Urbano'!E17^2</f>
        <v>1089</v>
      </c>
      <c r="K62" s="20">
        <f>'Exercício 2 - Inventário Urbano'!C17^2</f>
        <v>1.4163380100000001E-2</v>
      </c>
      <c r="L62" s="20">
        <f>'Exercício 2 - Inventário Urbano'!E17*'Exercício 2 - Inventário Urbano'!C17</f>
        <v>3.92733</v>
      </c>
    </row>
    <row r="63" spans="1:12" x14ac:dyDescent="0.2">
      <c r="B63" s="25" t="s">
        <v>130</v>
      </c>
      <c r="C63" s="17">
        <f>SUM(L51:L80)</f>
        <v>231.85847999999999</v>
      </c>
      <c r="H63" s="2">
        <v>47724</v>
      </c>
      <c r="I63" s="45">
        <f>('Exercício 2 - Inventário Urbano'!E18-($C$59*'Exercício 2 - Inventário Urbano'!C18))^2</f>
        <v>56.834985196800631</v>
      </c>
      <c r="J63" s="20">
        <f>'Exercício 2 - Inventário Urbano'!E18^2</f>
        <v>961</v>
      </c>
      <c r="K63" s="20">
        <f>'Exercício 2 - Inventário Urbano'!C18^2</f>
        <v>6.671372410000001E-2</v>
      </c>
      <c r="L63" s="20">
        <f>'Exercício 2 - Inventário Urbano'!E18*'Exercício 2 - Inventário Urbano'!C18</f>
        <v>8.0069900000000001</v>
      </c>
    </row>
    <row r="64" spans="1:12" x14ac:dyDescent="0.2">
      <c r="B64" s="25"/>
      <c r="C64" s="17"/>
      <c r="H64" s="2">
        <v>47725</v>
      </c>
      <c r="I64" s="45">
        <f>('Exercício 2 - Inventário Urbano'!E19-($C$59*'Exercício 2 - Inventário Urbano'!C19))^2</f>
        <v>0.58327003257474797</v>
      </c>
      <c r="J64" s="20">
        <f>'Exercício 2 - Inventário Urbano'!E19^2</f>
        <v>625</v>
      </c>
      <c r="K64" s="20">
        <f>'Exercício 2 - Inventário Urbano'!C19^2</f>
        <v>2.9814928899999996E-2</v>
      </c>
      <c r="L64" s="20">
        <f>'Exercício 2 - Inventário Urbano'!E19*'Exercício 2 - Inventário Urbano'!C19</f>
        <v>4.3167499999999999</v>
      </c>
    </row>
    <row r="65" spans="1:12" x14ac:dyDescent="0.2">
      <c r="B65" s="25" t="s">
        <v>131</v>
      </c>
      <c r="C65" s="17">
        <f>(SUM(I51:I80))/(C53-1)</f>
        <v>330.62015729064916</v>
      </c>
      <c r="H65" s="2">
        <v>47758</v>
      </c>
      <c r="I65" s="45">
        <f>('Exercício 2 - Inventário Urbano'!E20-($C$59*'Exercício 2 - Inventário Urbano'!C20))^2</f>
        <v>161.03608993516167</v>
      </c>
      <c r="J65" s="20">
        <f>'Exercício 2 - Inventário Urbano'!E20^2</f>
        <v>361</v>
      </c>
      <c r="K65" s="20">
        <f>'Exercício 2 - Inventário Urbano'!C20^2</f>
        <v>1.7884441000000002E-3</v>
      </c>
      <c r="L65" s="20">
        <f>'Exercício 2 - Inventário Urbano'!E20*'Exercício 2 - Inventário Urbano'!C20</f>
        <v>0.80351000000000006</v>
      </c>
    </row>
    <row r="66" spans="1:12" x14ac:dyDescent="0.2">
      <c r="B66" s="25" t="s">
        <v>131</v>
      </c>
      <c r="C66" s="17">
        <f>((C61+((C59^2))*C62)-2*C59*C63)/(C53-1)</f>
        <v>330.62015729064899</v>
      </c>
      <c r="H66" s="2">
        <v>47802</v>
      </c>
      <c r="I66" s="45">
        <f>('Exercício 2 - Inventário Urbano'!E21-($C$59*'Exercício 2 - Inventário Urbano'!C21))^2</f>
        <v>131.11630402364548</v>
      </c>
      <c r="J66" s="20">
        <f>'Exercício 2 - Inventário Urbano'!E21^2</f>
        <v>529</v>
      </c>
      <c r="K66" s="20">
        <f>'Exercício 2 - Inventário Urbano'!C21^2</f>
        <v>5.3310192100000008E-2</v>
      </c>
      <c r="L66" s="20">
        <f>'Exercício 2 - Inventário Urbano'!E21*'Exercício 2 - Inventário Urbano'!C21</f>
        <v>5.3104700000000005</v>
      </c>
    </row>
    <row r="67" spans="1:12" x14ac:dyDescent="0.2">
      <c r="B67" s="25"/>
      <c r="H67" s="2">
        <v>47821</v>
      </c>
      <c r="I67" s="45">
        <f>('Exercício 2 - Inventário Urbano'!E22-($C$59*'Exercício 2 - Inventário Urbano'!C22))^2</f>
        <v>4.4898226083824033</v>
      </c>
      <c r="J67" s="20">
        <f>'Exercício 2 - Inventário Urbano'!E22^2</f>
        <v>2304</v>
      </c>
      <c r="K67" s="20">
        <f>'Exercício 2 - Inventário Urbano'!C22^2</f>
        <v>0.11282880999999999</v>
      </c>
      <c r="L67" s="20">
        <f>'Exercício 2 - Inventário Urbano'!E22*'Exercício 2 - Inventário Urbano'!C22</f>
        <v>16.123199999999997</v>
      </c>
    </row>
    <row r="68" spans="1:12" x14ac:dyDescent="0.2">
      <c r="C68" s="17"/>
      <c r="H68" s="2">
        <v>47827</v>
      </c>
      <c r="I68" s="45">
        <f>('Exercício 2 - Inventário Urbano'!E23-($C$59*'Exercício 2 - Inventário Urbano'!C23))^2</f>
        <v>199.85599060371501</v>
      </c>
      <c r="J68" s="20">
        <f>'Exercício 2 - Inventário Urbano'!E23^2</f>
        <v>2025</v>
      </c>
      <c r="K68" s="20">
        <f>'Exercício 2 - Inventário Urbano'!C23^2</f>
        <v>0.15708539560000001</v>
      </c>
      <c r="L68" s="20">
        <f>'Exercício 2 - Inventário Urbano'!E23*'Exercício 2 - Inventário Urbano'!C23</f>
        <v>17.8353</v>
      </c>
    </row>
    <row r="69" spans="1:12" ht="14.25" x14ac:dyDescent="0.2">
      <c r="A69" s="41" t="s">
        <v>132</v>
      </c>
      <c r="C69" s="17"/>
      <c r="H69" s="2">
        <v>47880</v>
      </c>
      <c r="I69" s="45">
        <f>('Exercício 2 - Inventário Urbano'!E24-($C$59*'Exercício 2 - Inventário Urbano'!C24))^2</f>
        <v>7.3199199951175764</v>
      </c>
      <c r="J69" s="20">
        <f>'Exercício 2 - Inventário Urbano'!E24^2</f>
        <v>121</v>
      </c>
      <c r="K69" s="20">
        <f>'Exercício 2 - Inventário Urbano'!C24^2</f>
        <v>3.0902480999999999E-3</v>
      </c>
      <c r="L69" s="20">
        <f>'Exercício 2 - Inventário Urbano'!E24*'Exercício 2 - Inventário Urbano'!C24</f>
        <v>0.61148999999999998</v>
      </c>
    </row>
    <row r="70" spans="1:12" x14ac:dyDescent="0.2">
      <c r="A70" t="s">
        <v>133</v>
      </c>
      <c r="B70" s="25" t="s">
        <v>126</v>
      </c>
      <c r="C70" s="40">
        <f>C59</f>
        <v>149.2078599329804</v>
      </c>
      <c r="D70" t="s">
        <v>127</v>
      </c>
      <c r="H70" s="2">
        <v>47949</v>
      </c>
      <c r="I70" s="45">
        <f>('Exercício 2 - Inventário Urbano'!E25-($C$59*'Exercício 2 - Inventário Urbano'!C25))^2</f>
        <v>11.191262274993067</v>
      </c>
      <c r="J70" s="20">
        <f>'Exercício 2 - Inventário Urbano'!E25^2</f>
        <v>1936</v>
      </c>
      <c r="K70" s="20">
        <f>'Exercício 2 - Inventário Urbano'!C25^2</f>
        <v>7.4239900899999989E-2</v>
      </c>
      <c r="L70" s="20">
        <f>'Exercício 2 - Inventário Urbano'!E25*'Exercício 2 - Inventário Urbano'!C25</f>
        <v>11.988679999999999</v>
      </c>
    </row>
    <row r="71" spans="1:12" x14ac:dyDescent="0.2">
      <c r="A71" t="s">
        <v>134</v>
      </c>
      <c r="B71" s="25" t="s">
        <v>135</v>
      </c>
      <c r="C71" s="33">
        <f>1-(C53/C47)</f>
        <v>0.89090909090909087</v>
      </c>
      <c r="H71" s="2">
        <v>47952</v>
      </c>
      <c r="I71" s="45">
        <f>('Exercício 2 - Inventário Urbano'!E26-($C$59*'Exercício 2 - Inventário Urbano'!C26))^2</f>
        <v>50.174243139750729</v>
      </c>
      <c r="J71" s="20">
        <f>'Exercício 2 - Inventário Urbano'!E26^2</f>
        <v>169</v>
      </c>
      <c r="K71" s="20">
        <f>'Exercício 2 - Inventário Urbano'!C26^2</f>
        <v>1.811716E-2</v>
      </c>
      <c r="L71" s="20">
        <f>'Exercício 2 - Inventário Urbano'!E26*'Exercício 2 - Inventário Urbano'!C26</f>
        <v>1.7498</v>
      </c>
    </row>
    <row r="72" spans="1:12" x14ac:dyDescent="0.2">
      <c r="A72" t="s">
        <v>136</v>
      </c>
      <c r="B72" s="25" t="s">
        <v>137</v>
      </c>
      <c r="C72" s="31">
        <f>(1/E49)^2*(C66/C53)*C71</f>
        <v>2.8773153543615906</v>
      </c>
      <c r="D72" t="s">
        <v>138</v>
      </c>
      <c r="H72" s="2">
        <v>47972</v>
      </c>
      <c r="I72" s="45">
        <f>('Exercício 2 - Inventário Urbano'!E27-($C$59*'Exercício 2 - Inventário Urbano'!C27))^2</f>
        <v>424.24396367654504</v>
      </c>
      <c r="J72" s="20">
        <f>'Exercício 2 - Inventário Urbano'!E27^2</f>
        <v>676</v>
      </c>
      <c r="K72" s="20">
        <f>'Exercício 2 - Inventário Urbano'!C27^2</f>
        <v>1.3111640999999999E-3</v>
      </c>
      <c r="L72" s="20">
        <f>'Exercício 2 - Inventário Urbano'!E27*'Exercício 2 - Inventário Urbano'!C27</f>
        <v>0.94145999999999996</v>
      </c>
    </row>
    <row r="73" spans="1:12" x14ac:dyDescent="0.2">
      <c r="B73" s="25"/>
      <c r="C73" s="17"/>
      <c r="H73" s="2">
        <v>48054</v>
      </c>
      <c r="I73" s="45">
        <f>('Exercício 2 - Inventário Urbano'!E28-($C$59*'Exercício 2 - Inventário Urbano'!C28))^2</f>
        <v>848.39051372489837</v>
      </c>
      <c r="J73" s="20">
        <f>'Exercício 2 - Inventário Urbano'!E28^2</f>
        <v>9604</v>
      </c>
      <c r="K73" s="20">
        <f>'Exercício 2 - Inventário Urbano'!C28^2</f>
        <v>0.21306532810000001</v>
      </c>
      <c r="L73" s="20">
        <f>'Exercício 2 - Inventário Urbano'!E28*'Exercício 2 - Inventário Urbano'!C28</f>
        <v>45.235819999999997</v>
      </c>
    </row>
    <row r="74" spans="1:12" x14ac:dyDescent="0.2">
      <c r="A74" t="s">
        <v>29</v>
      </c>
      <c r="B74" s="25" t="s">
        <v>36</v>
      </c>
      <c r="C74" s="17">
        <v>2.0452296421327101</v>
      </c>
      <c r="H74" s="2">
        <v>48506</v>
      </c>
      <c r="I74" s="45">
        <f>('Exercício 2 - Inventário Urbano'!E29-($C$59*'Exercício 2 - Inventário Urbano'!C29))^2</f>
        <v>163.9012227785328</v>
      </c>
      <c r="J74" s="20">
        <f>'Exercício 2 - Inventário Urbano'!E29^2</f>
        <v>1600</v>
      </c>
      <c r="K74" s="20">
        <f>'Exercício 2 - Inventário Urbano'!C29^2</f>
        <v>3.3225998399999998E-2</v>
      </c>
      <c r="L74" s="20">
        <f>'Exercício 2 - Inventário Urbano'!E29*'Exercício 2 - Inventário Urbano'!C29</f>
        <v>7.2911999999999999</v>
      </c>
    </row>
    <row r="75" spans="1:12" x14ac:dyDescent="0.2">
      <c r="B75" s="25"/>
      <c r="C75" s="17"/>
      <c r="H75" s="2">
        <v>48639</v>
      </c>
      <c r="I75" s="45">
        <f>('Exercício 2 - Inventário Urbano'!E30-($C$59*'Exercício 2 - Inventário Urbano'!C30))^2</f>
        <v>5130.9689907039929</v>
      </c>
      <c r="J75" s="20">
        <f>'Exercício 2 - Inventário Urbano'!E30^2</f>
        <v>1369</v>
      </c>
      <c r="K75" s="20">
        <f>'Exercício 2 - Inventário Urbano'!C30^2</f>
        <v>0.53005680249999998</v>
      </c>
      <c r="L75" s="20">
        <f>'Exercício 2 - Inventário Urbano'!E30*'Exercício 2 - Inventário Urbano'!C30</f>
        <v>26.937849999999997</v>
      </c>
    </row>
    <row r="76" spans="1:12" x14ac:dyDescent="0.2">
      <c r="A76" t="s">
        <v>30</v>
      </c>
      <c r="B76" s="25" t="s">
        <v>100</v>
      </c>
      <c r="C76" s="31">
        <f>C74*SQRT(C72)</f>
        <v>3.4692517025510909</v>
      </c>
      <c r="D76" t="s">
        <v>127</v>
      </c>
      <c r="H76" s="2">
        <v>50423</v>
      </c>
      <c r="I76" s="45">
        <f>('Exercício 2 - Inventário Urbano'!E31-($C$59*'Exercício 2 - Inventário Urbano'!C31))^2</f>
        <v>27.448837754264446</v>
      </c>
      <c r="J76" s="20">
        <f>'Exercício 2 - Inventário Urbano'!E31^2</f>
        <v>2209</v>
      </c>
      <c r="K76" s="20">
        <f>'Exercício 2 - Inventário Urbano'!C31^2</f>
        <v>0.12257701209999998</v>
      </c>
      <c r="L76" s="20">
        <f>'Exercício 2 - Inventário Urbano'!E31*'Exercício 2 - Inventário Urbano'!C31</f>
        <v>16.455169999999999</v>
      </c>
    </row>
    <row r="77" spans="1:12" x14ac:dyDescent="0.2">
      <c r="A77" t="s">
        <v>101</v>
      </c>
      <c r="B77" s="25" t="s">
        <v>139</v>
      </c>
      <c r="C77" s="35">
        <f>(C76/C59)*100</f>
        <v>2.3251132374054375</v>
      </c>
      <c r="D77" t="s">
        <v>37</v>
      </c>
      <c r="H77" s="2">
        <v>50923</v>
      </c>
      <c r="I77" s="45">
        <f>('Exercício 2 - Inventário Urbano'!E32-($C$59*'Exercício 2 - Inventário Urbano'!C32))^2</f>
        <v>17.549658527237206</v>
      </c>
      <c r="J77" s="20">
        <f>'Exercício 2 - Inventário Urbano'!E32^2</f>
        <v>64</v>
      </c>
      <c r="K77" s="20">
        <f>'Exercício 2 - Inventário Urbano'!C32^2</f>
        <v>6.5229160000000003E-4</v>
      </c>
      <c r="L77" s="20">
        <f>'Exercício 2 - Inventário Urbano'!E32*'Exercício 2 - Inventário Urbano'!C32</f>
        <v>0.20432</v>
      </c>
    </row>
    <row r="78" spans="1:12" x14ac:dyDescent="0.2">
      <c r="B78" s="25"/>
      <c r="H78" s="2">
        <v>53375</v>
      </c>
      <c r="I78" s="45">
        <f>('Exercício 2 - Inventário Urbano'!E33-($C$59*'Exercício 2 - Inventário Urbano'!C33))^2</f>
        <v>71.34149168231383</v>
      </c>
      <c r="J78" s="20">
        <f>'Exercício 2 - Inventário Urbano'!E33^2</f>
        <v>900</v>
      </c>
      <c r="K78" s="20">
        <f>'Exercício 2 - Inventário Urbano'!C33^2</f>
        <v>6.6393828900000007E-2</v>
      </c>
      <c r="L78" s="20">
        <f>'Exercício 2 - Inventário Urbano'!E33*'Exercício 2 - Inventário Urbano'!C33</f>
        <v>7.7301000000000002</v>
      </c>
    </row>
    <row r="79" spans="1:12" x14ac:dyDescent="0.2">
      <c r="B79" s="25"/>
      <c r="H79" s="2">
        <v>55238</v>
      </c>
      <c r="I79" s="45">
        <f>('Exercício 2 - Inventário Urbano'!E34-($C$59*'Exercício 2 - Inventário Urbano'!C34))^2</f>
        <v>653.48265268115983</v>
      </c>
      <c r="J79" s="20">
        <f>'Exercício 2 - Inventário Urbano'!E34^2</f>
        <v>2209</v>
      </c>
      <c r="K79" s="20">
        <f>'Exercício 2 - Inventário Urbano'!C34^2</f>
        <v>2.0641068899999997E-2</v>
      </c>
      <c r="L79" s="20">
        <f>'Exercício 2 - Inventário Urbano'!E34*'Exercício 2 - Inventário Urbano'!C34</f>
        <v>6.7524899999999999</v>
      </c>
    </row>
    <row r="80" spans="1:12" x14ac:dyDescent="0.2">
      <c r="A80" s="14" t="s">
        <v>56</v>
      </c>
      <c r="B80" s="25"/>
      <c r="H80" s="2">
        <v>59547</v>
      </c>
      <c r="I80" s="45">
        <f>('Exercício 2 - Inventário Urbano'!E35-($C$59*'Exercício 2 - Inventário Urbano'!C35))^2</f>
        <v>78.048622004053428</v>
      </c>
      <c r="J80" s="20">
        <f>'Exercício 2 - Inventário Urbano'!E35^2</f>
        <v>576</v>
      </c>
      <c r="K80" s="20">
        <f>'Exercício 2 - Inventário Urbano'!C35^2</f>
        <v>1.0330689599999998E-2</v>
      </c>
      <c r="L80" s="20">
        <f>'Exercício 2 - Inventário Urbano'!E35*'Exercício 2 - Inventário Urbano'!C35</f>
        <v>2.4393599999999998</v>
      </c>
    </row>
    <row r="81" spans="2:7" x14ac:dyDescent="0.2">
      <c r="B81" s="25" t="s">
        <v>39</v>
      </c>
      <c r="C81">
        <v>5</v>
      </c>
    </row>
    <row r="82" spans="2:7" x14ac:dyDescent="0.2">
      <c r="B82" s="25" t="s">
        <v>57</v>
      </c>
      <c r="C82" s="17">
        <f>((SQRT(C65))/C70)*100</f>
        <v>12.186330792830541</v>
      </c>
    </row>
    <row r="83" spans="2:7" x14ac:dyDescent="0.2">
      <c r="B83" s="25"/>
    </row>
    <row r="84" spans="2:7" x14ac:dyDescent="0.2">
      <c r="B84" s="12" t="s">
        <v>41</v>
      </c>
      <c r="C84" s="12" t="s">
        <v>42</v>
      </c>
      <c r="D84" s="12" t="s">
        <v>43</v>
      </c>
    </row>
    <row r="85" spans="2:7" x14ac:dyDescent="0.2">
      <c r="B85" s="12">
        <v>1</v>
      </c>
      <c r="C85" s="42">
        <v>2.0452296421327101</v>
      </c>
      <c r="D85" s="12">
        <f>_xlfn.CEILING.MATH(((C85^2*$C$82^2*$C$2)/($C$81^2*$C$2)+(C85^2*$C$82^2)))</f>
        <v>647</v>
      </c>
      <c r="F85" s="12"/>
    </row>
    <row r="86" spans="2:7" x14ac:dyDescent="0.2">
      <c r="B86" s="12">
        <v>2</v>
      </c>
      <c r="C86" s="42">
        <v>1.9804475986834</v>
      </c>
      <c r="D86" s="12">
        <f>_xlfn.CEILING.MATH(((C86^2*$C$82^2*$C$2)/($C$81^2*$C$2)+(C86^2*$C$82^2)))</f>
        <v>606</v>
      </c>
      <c r="F86" s="12"/>
    </row>
    <row r="87" spans="2:7" x14ac:dyDescent="0.2">
      <c r="B87" s="12">
        <v>3</v>
      </c>
      <c r="C87" s="42">
        <v>1.98118035941466</v>
      </c>
      <c r="D87" s="12">
        <f>_xlfn.CEILING.MATH(((C87^2*$C$82^2*$C$2)/($C$81^2*$C$2)+(C87^2*$C$82^2)))</f>
        <v>607</v>
      </c>
      <c r="F87" s="12"/>
      <c r="G87" s="39"/>
    </row>
    <row r="88" spans="2:7" x14ac:dyDescent="0.2">
      <c r="B88" s="12">
        <v>4</v>
      </c>
      <c r="C88" s="42">
        <v>1.98118035941466</v>
      </c>
      <c r="D88" s="12">
        <f>_xlfn.CEILING.MATH(((C88^2*$C$82^2*$C$2)/($C$81^2*$C$2)+(C88^2*$C$82^2)))</f>
        <v>607</v>
      </c>
      <c r="F88" s="12"/>
      <c r="G88" s="39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C700-7745-4DA5-A3B4-7BA74992254B}">
  <dimension ref="A1:G26"/>
  <sheetViews>
    <sheetView tabSelected="1" workbookViewId="0">
      <selection activeCell="G20" sqref="G20"/>
    </sheetView>
  </sheetViews>
  <sheetFormatPr defaultRowHeight="12.75" x14ac:dyDescent="0.2"/>
  <cols>
    <col min="1" max="1" width="37.28515625" customWidth="1"/>
    <col min="3" max="3" width="10.140625" bestFit="1" customWidth="1"/>
    <col min="4" max="4" width="19.5703125" customWidth="1"/>
  </cols>
  <sheetData>
    <row r="1" spans="1:7" x14ac:dyDescent="0.2">
      <c r="A1" s="14" t="s">
        <v>151</v>
      </c>
    </row>
    <row r="3" spans="1:7" x14ac:dyDescent="0.2">
      <c r="A3" s="49" t="s">
        <v>79</v>
      </c>
    </row>
    <row r="4" spans="1:7" x14ac:dyDescent="0.2">
      <c r="A4" t="s">
        <v>25</v>
      </c>
      <c r="B4" s="25" t="s">
        <v>32</v>
      </c>
      <c r="C4" s="4">
        <f>'Amostr Aleatória Simples Ex2'!C9</f>
        <v>30.1</v>
      </c>
      <c r="D4" t="s">
        <v>152</v>
      </c>
      <c r="E4" s="25" t="s">
        <v>32</v>
      </c>
      <c r="F4" s="50">
        <f>'Amostr Aleatória Simples Ex2'!F9</f>
        <v>0.191</v>
      </c>
      <c r="G4" t="s">
        <v>96</v>
      </c>
    </row>
    <row r="5" spans="1:7" x14ac:dyDescent="0.2">
      <c r="A5" t="s">
        <v>28</v>
      </c>
      <c r="B5" s="25" t="s">
        <v>35</v>
      </c>
      <c r="C5" s="4">
        <f>'Amostr Aleatória Simples Ex2'!C10</f>
        <v>319.4724137931035</v>
      </c>
      <c r="D5" t="s">
        <v>153</v>
      </c>
      <c r="E5" s="25" t="s">
        <v>35</v>
      </c>
      <c r="F5" s="50">
        <f>'Amostr Aleatória Simples Ex2'!F10</f>
        <v>1.2812257167199841E-2</v>
      </c>
      <c r="G5" t="s">
        <v>97</v>
      </c>
    </row>
    <row r="6" spans="1:7" x14ac:dyDescent="0.2">
      <c r="A6" t="s">
        <v>81</v>
      </c>
      <c r="B6" s="25" t="s">
        <v>154</v>
      </c>
      <c r="C6">
        <f>'Amostr Aleatória Simples Ex2'!D27</f>
        <v>14092</v>
      </c>
    </row>
    <row r="9" spans="1:7" x14ac:dyDescent="0.2">
      <c r="A9" s="49" t="s">
        <v>157</v>
      </c>
    </row>
    <row r="10" spans="1:7" x14ac:dyDescent="0.2">
      <c r="A10" t="s">
        <v>25</v>
      </c>
      <c r="B10" s="25" t="s">
        <v>32</v>
      </c>
      <c r="C10" s="17">
        <f>'Estimador de Razão Ex2'!C14</f>
        <v>47.650684074909201</v>
      </c>
      <c r="D10" t="s">
        <v>96</v>
      </c>
    </row>
    <row r="11" spans="1:7" x14ac:dyDescent="0.2">
      <c r="A11" t="s">
        <v>28</v>
      </c>
      <c r="B11" s="25" t="s">
        <v>35</v>
      </c>
      <c r="C11" s="17">
        <f>'Estimador de Razão Ex2'!C27</f>
        <v>21.533669640089791</v>
      </c>
      <c r="D11" t="s">
        <v>97</v>
      </c>
    </row>
    <row r="12" spans="1:7" x14ac:dyDescent="0.2">
      <c r="A12" t="s">
        <v>81</v>
      </c>
      <c r="B12" s="25" t="s">
        <v>154</v>
      </c>
      <c r="C12">
        <f>'Estimador de Razão Ex2'!D43</f>
        <v>4299</v>
      </c>
    </row>
    <row r="14" spans="1:7" x14ac:dyDescent="0.2">
      <c r="A14" s="49" t="s">
        <v>15</v>
      </c>
    </row>
    <row r="15" spans="1:7" x14ac:dyDescent="0.2">
      <c r="A15" s="51" t="s">
        <v>85</v>
      </c>
      <c r="D15" s="25" t="s">
        <v>155</v>
      </c>
      <c r="E15" s="35">
        <f>(C11/C5)*100</f>
        <v>6.7403846812374271</v>
      </c>
      <c r="F15" t="s">
        <v>37</v>
      </c>
    </row>
    <row r="16" spans="1:7" x14ac:dyDescent="0.2">
      <c r="A16" s="51" t="s">
        <v>86</v>
      </c>
      <c r="D16" s="25" t="s">
        <v>156</v>
      </c>
      <c r="E16" s="35">
        <f>(C12/C6)*100</f>
        <v>30.506670451319902</v>
      </c>
      <c r="F16" t="s">
        <v>37</v>
      </c>
    </row>
    <row r="19" spans="1:6" x14ac:dyDescent="0.2">
      <c r="A19" s="49" t="s">
        <v>158</v>
      </c>
    </row>
    <row r="20" spans="1:6" x14ac:dyDescent="0.2">
      <c r="A20" t="s">
        <v>25</v>
      </c>
      <c r="B20" s="25" t="s">
        <v>32</v>
      </c>
      <c r="C20" s="17">
        <f>'Estimador de Razão Ex2'!C59</f>
        <v>149.2078599329804</v>
      </c>
      <c r="D20" t="s">
        <v>96</v>
      </c>
    </row>
    <row r="21" spans="1:6" x14ac:dyDescent="0.2">
      <c r="A21" t="s">
        <v>28</v>
      </c>
      <c r="B21" s="25" t="s">
        <v>35</v>
      </c>
      <c r="C21" s="17">
        <f>'Estimador de Razão Ex2'!C72</f>
        <v>2.8773153543615906</v>
      </c>
      <c r="D21" t="s">
        <v>97</v>
      </c>
    </row>
    <row r="22" spans="1:6" x14ac:dyDescent="0.2">
      <c r="A22" t="s">
        <v>81</v>
      </c>
      <c r="B22" s="25" t="s">
        <v>154</v>
      </c>
      <c r="C22">
        <f>'Estimador de Razão Ex2'!D88</f>
        <v>607</v>
      </c>
    </row>
    <row r="24" spans="1:6" x14ac:dyDescent="0.2">
      <c r="A24" s="49" t="s">
        <v>15</v>
      </c>
    </row>
    <row r="25" spans="1:6" x14ac:dyDescent="0.2">
      <c r="A25" s="51" t="s">
        <v>85</v>
      </c>
      <c r="D25" s="25" t="s">
        <v>155</v>
      </c>
      <c r="E25" s="35">
        <f>(C21/C5)*100</f>
        <v>0.90064594942616727</v>
      </c>
      <c r="F25" t="s">
        <v>37</v>
      </c>
    </row>
    <row r="26" spans="1:6" x14ac:dyDescent="0.2">
      <c r="A26" s="51" t="s">
        <v>86</v>
      </c>
      <c r="D26" s="25" t="s">
        <v>156</v>
      </c>
      <c r="E26" s="35">
        <f>(C22/C6)*100</f>
        <v>4.3074084586999719</v>
      </c>
      <c r="F26" t="s">
        <v>37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Exercício 1 - Levantamento em F</vt:lpstr>
      <vt:lpstr>Amostr Aleatória Simples Ex1</vt:lpstr>
      <vt:lpstr>Estimador de Razão Ex1</vt:lpstr>
      <vt:lpstr>Comparação Ex1</vt:lpstr>
      <vt:lpstr>Exercício 2 - Inventário Urbano</vt:lpstr>
      <vt:lpstr>Amostr Aleatória Simples Ex2</vt:lpstr>
      <vt:lpstr>Estimador de Razão Ex2</vt:lpstr>
      <vt:lpstr>~Comparação Ex2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Honorato Lisbôa</dc:creator>
  <dc:description/>
  <cp:lastModifiedBy>Paulo Honorato Lisbôa</cp:lastModifiedBy>
  <cp:revision>23</cp:revision>
  <dcterms:created xsi:type="dcterms:W3CDTF">2021-11-22T14:06:04Z</dcterms:created>
  <dcterms:modified xsi:type="dcterms:W3CDTF">2021-11-26T01:35:09Z</dcterms:modified>
  <dc:language>pt-BR</dc:language>
</cp:coreProperties>
</file>