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B4DA9BCC-0E37-4C99-886A-06654E0FD331}" xr6:coauthVersionLast="47" xr6:coauthVersionMax="47" xr10:uidLastSave="{00000000-0000-0000-0000-000000000000}"/>
  <bookViews>
    <workbookView xWindow="-120" yWindow="-120" windowWidth="20730" windowHeight="11160" activeTab="1" xr2:uid="{68A3A7D3-30E3-48AB-9791-75A4C22F1AB9}"/>
  </bookViews>
  <sheets>
    <sheet name="Exercício 1" sheetId="1" r:id="rId1"/>
    <sheet name="Exercíci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6" i="2" l="1"/>
  <c r="AK45" i="2"/>
  <c r="AK43" i="2"/>
  <c r="AK42" i="2"/>
  <c r="Z53" i="2"/>
  <c r="Z52" i="2"/>
  <c r="Z51" i="2"/>
  <c r="Z50" i="2"/>
  <c r="V50" i="2"/>
  <c r="X47" i="2"/>
  <c r="X44" i="2"/>
  <c r="X46" i="2"/>
  <c r="X43" i="2"/>
  <c r="X42" i="2"/>
  <c r="X39" i="2"/>
  <c r="X38" i="2"/>
  <c r="X37" i="2"/>
  <c r="X36" i="2"/>
  <c r="X35" i="2"/>
  <c r="X34" i="2"/>
  <c r="X33" i="2"/>
  <c r="Z27" i="2"/>
  <c r="V26" i="2"/>
  <c r="Z29" i="2" s="1"/>
  <c r="X22" i="2"/>
  <c r="X23" i="2" s="1"/>
  <c r="X20" i="2"/>
  <c r="X19" i="2"/>
  <c r="X18" i="2"/>
  <c r="X16" i="2"/>
  <c r="X15" i="2"/>
  <c r="X14" i="2"/>
  <c r="X13" i="2"/>
  <c r="X12" i="2"/>
  <c r="X10" i="2"/>
  <c r="X9" i="2"/>
  <c r="N50" i="2"/>
  <c r="N49" i="2"/>
  <c r="N48" i="2"/>
  <c r="N47" i="2"/>
  <c r="M44" i="2"/>
  <c r="M38" i="2"/>
  <c r="M37" i="2"/>
  <c r="M39" i="2" s="1"/>
  <c r="M36" i="2"/>
  <c r="M31" i="2"/>
  <c r="M30" i="2"/>
  <c r="M32" i="2" s="1"/>
  <c r="M29" i="2"/>
  <c r="N21" i="2"/>
  <c r="N22" i="2" s="1"/>
  <c r="N20" i="2"/>
  <c r="N19" i="2"/>
  <c r="P14" i="2"/>
  <c r="N14" i="2"/>
  <c r="P13" i="2"/>
  <c r="N16" i="2"/>
  <c r="P16" i="2" s="1"/>
  <c r="P1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6" i="2"/>
  <c r="F3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6" i="2"/>
  <c r="H6" i="2"/>
  <c r="AE8" i="1"/>
  <c r="AC47" i="1"/>
  <c r="AC46" i="1"/>
  <c r="AC45" i="1"/>
  <c r="AC44" i="1"/>
  <c r="AB41" i="1"/>
  <c r="AE7" i="1"/>
  <c r="W47" i="1"/>
  <c r="W46" i="1"/>
  <c r="W44" i="1"/>
  <c r="W43" i="1"/>
  <c r="W41" i="1"/>
  <c r="S45" i="1"/>
  <c r="U37" i="1"/>
  <c r="U35" i="1"/>
  <c r="U34" i="1"/>
  <c r="U33" i="1"/>
  <c r="U32" i="1"/>
  <c r="U31" i="1"/>
  <c r="U30" i="1"/>
  <c r="U29" i="1"/>
  <c r="U27" i="1"/>
  <c r="U26" i="1"/>
  <c r="U25" i="1"/>
  <c r="U24" i="1"/>
  <c r="U23" i="1"/>
  <c r="U22" i="1"/>
  <c r="U28" i="1"/>
  <c r="U36" i="1"/>
  <c r="U21" i="1"/>
  <c r="S44" i="1"/>
  <c r="S43" i="1"/>
  <c r="S42" i="1"/>
  <c r="S41" i="1"/>
  <c r="X37" i="1"/>
  <c r="W37" i="1"/>
  <c r="V37" i="1"/>
  <c r="X36" i="1"/>
  <c r="W36" i="1"/>
  <c r="V36" i="1"/>
  <c r="X35" i="1"/>
  <c r="W35" i="1"/>
  <c r="V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V23" i="1"/>
  <c r="X22" i="1"/>
  <c r="W22" i="1"/>
  <c r="V22" i="1"/>
  <c r="X21" i="1"/>
  <c r="W21" i="1"/>
  <c r="V21" i="1"/>
  <c r="T16" i="1"/>
  <c r="T15" i="1"/>
  <c r="T14" i="1"/>
  <c r="K30" i="1"/>
  <c r="K29" i="1"/>
  <c r="K28" i="1"/>
  <c r="K27" i="1"/>
  <c r="J24" i="1"/>
  <c r="L15" i="1"/>
  <c r="L14" i="1"/>
  <c r="L13" i="1"/>
  <c r="L12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X40" i="2" l="1"/>
  <c r="Z26" i="2"/>
  <c r="Z28" i="2"/>
  <c r="X11" i="2"/>
  <c r="M40" i="2"/>
  <c r="M33" i="2"/>
  <c r="N23" i="2"/>
  <c r="N25" i="2" s="1"/>
  <c r="N26" i="2" s="1"/>
  <c r="L16" i="1"/>
  <c r="L18" i="1" s="1"/>
  <c r="L19" i="1" s="1"/>
</calcChain>
</file>

<file path=xl/sharedStrings.xml><?xml version="1.0" encoding="utf-8"?>
<sst xmlns="http://schemas.openxmlformats.org/spreadsheetml/2006/main" count="275" uniqueCount="143">
  <si>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</si>
  <si>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</si>
  <si>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Parcela</t>
  </si>
  <si>
    <t>Área da Parcela (ha)</t>
  </si>
  <si>
    <t>Número de Árvores</t>
  </si>
  <si>
    <t>Árvores/Hectare</t>
  </si>
  <si>
    <t xml:space="preserve">        Utilize como variável auxiliar (x) para o estimador de razão o tamanho da parcela.</t>
  </si>
  <si>
    <t xml:space="preserve"> Encontre para ambos tipos de estimadores o tamanho de amostra necessário para erro amostral de 5% (a 95% de probabilidade)</t>
  </si>
  <si>
    <t>Área da Florestal</t>
  </si>
  <si>
    <t>S=</t>
  </si>
  <si>
    <t>ha</t>
  </si>
  <si>
    <t>m</t>
  </si>
  <si>
    <t>Tamanho Médio de parcelas de 10m</t>
  </si>
  <si>
    <t>Número de Parcelas em faixa</t>
  </si>
  <si>
    <t>N =</t>
  </si>
  <si>
    <t>Eixo de alinhamento das parcelas em faixa</t>
  </si>
  <si>
    <t>Tamanho médio de parcelas de 10m</t>
  </si>
  <si>
    <t>Número de parcelas em faixa</t>
  </si>
  <si>
    <t>Área floresta</t>
  </si>
  <si>
    <t>Número de Árvores (Y)</t>
  </si>
  <si>
    <t>Média</t>
  </si>
  <si>
    <t>mu =</t>
  </si>
  <si>
    <t>árvores/ha</t>
  </si>
  <si>
    <t>Variância</t>
  </si>
  <si>
    <t>s^2 =</t>
  </si>
  <si>
    <t>Tamanho da Amostra</t>
  </si>
  <si>
    <t>n =</t>
  </si>
  <si>
    <t>Correção para Pop. Fin.</t>
  </si>
  <si>
    <t>CpPF =</t>
  </si>
  <si>
    <t xml:space="preserve">Variância da Média </t>
  </si>
  <si>
    <t>Var(mu) =</t>
  </si>
  <si>
    <t>Estatística t</t>
  </si>
  <si>
    <t>t =</t>
  </si>
  <si>
    <t>Erro Amostral</t>
  </si>
  <si>
    <t>Erro Amostral %</t>
  </si>
  <si>
    <t>%</t>
  </si>
  <si>
    <t>Tamanho da Amostra para Erro Amostral</t>
  </si>
  <si>
    <t>E_% =</t>
  </si>
  <si>
    <t>V% =</t>
  </si>
  <si>
    <t>Iteração</t>
  </si>
  <si>
    <t>t</t>
  </si>
  <si>
    <t>n*</t>
  </si>
  <si>
    <r>
      <rPr>
        <vertAlign val="subscript"/>
        <sz val="10"/>
        <rFont val="Arial"/>
        <family val="2"/>
      </rPr>
      <t>tau_x</t>
    </r>
    <r>
      <rPr>
        <sz val="11"/>
        <color theme="1"/>
        <rFont val="Calibri"/>
        <family val="2"/>
        <scheme val="minor"/>
      </rPr>
      <t xml:space="preserve"> =</t>
    </r>
  </si>
  <si>
    <t>W =</t>
  </si>
  <si>
    <r>
      <rPr>
        <vertAlign val="subscript"/>
        <sz val="10"/>
        <rFont val="Arial"/>
        <family val="2"/>
      </rPr>
      <t>mu_x</t>
    </r>
    <r>
      <rPr>
        <sz val="11"/>
        <color theme="1"/>
        <rFont val="Calibri"/>
        <family val="2"/>
        <scheme val="minor"/>
      </rPr>
      <t xml:space="preserve"> =</t>
    </r>
  </si>
  <si>
    <t>Amostragem Aleatória Simples</t>
  </si>
  <si>
    <t>Estimador de Razão</t>
  </si>
  <si>
    <t>Y = Número de Árvores</t>
  </si>
  <si>
    <t>X = Área da Parcela (ha)</t>
  </si>
  <si>
    <t>Tamanho de Amostra</t>
  </si>
  <si>
    <t>n=</t>
  </si>
  <si>
    <t>Média Amostrais</t>
  </si>
  <si>
    <t>mu_y=</t>
  </si>
  <si>
    <t>árvores</t>
  </si>
  <si>
    <t>mu_x=</t>
  </si>
  <si>
    <t>R=</t>
  </si>
  <si>
    <t>(Y-RX)²</t>
  </si>
  <si>
    <t>Y²</t>
  </si>
  <si>
    <t>X²</t>
  </si>
  <si>
    <t>YX</t>
  </si>
  <si>
    <t>Variância Populacional</t>
  </si>
  <si>
    <t>Soma (Y²)=</t>
  </si>
  <si>
    <t>Soma (X²)=</t>
  </si>
  <si>
    <t>Soma (YX)=</t>
  </si>
  <si>
    <t>s²R=</t>
  </si>
  <si>
    <t>Comparação</t>
  </si>
  <si>
    <t>Razão das Variâncias da Média</t>
  </si>
  <si>
    <t>Var(um_R)/Var(um) =</t>
  </si>
  <si>
    <t>Razão dos Tamanhos de Amostra p/ E=5%</t>
  </si>
  <si>
    <t>n*R/n* * 100 =</t>
  </si>
  <si>
    <t>Estimador da Quantidade de Árvores da Floresta</t>
  </si>
  <si>
    <t>É o próprio estimador de razão</t>
  </si>
  <si>
    <t>Variância da Razão</t>
  </si>
  <si>
    <t>Cor. Pop. Finita =</t>
  </si>
  <si>
    <t>Var (R)=</t>
  </si>
  <si>
    <t>t=</t>
  </si>
  <si>
    <t>Erro Amostra</t>
  </si>
  <si>
    <t>Erro Amostra %</t>
  </si>
  <si>
    <t>(árvores/ha)²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</si>
  <si>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</si>
  <si>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</si>
  <si>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</si>
  <si>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</si>
  <si>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Número de Árvores na Quadra</t>
  </si>
  <si>
    <t>Perímetro da Quadra em (Km)</t>
  </si>
  <si>
    <r>
      <t>Área da Quadra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</si>
  <si>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N° de árvore/Km</t>
  </si>
  <si>
    <t>N° de árvore/Km²</t>
  </si>
  <si>
    <t>Área</t>
  </si>
  <si>
    <t>Perímetro</t>
  </si>
  <si>
    <t>Número Total de Quadras</t>
  </si>
  <si>
    <t>Perímetro Total das Quadras</t>
  </si>
  <si>
    <t>m =</t>
  </si>
  <si>
    <t>Km</t>
  </si>
  <si>
    <t>Tamanho Médio das Quadras</t>
  </si>
  <si>
    <t>Área Total das Quadras</t>
  </si>
  <si>
    <t>Km²</t>
  </si>
  <si>
    <r>
      <t>mu_x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</si>
  <si>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r>
      <t>mu_x</t>
    </r>
    <r>
      <rPr>
        <b/>
        <vertAlign val="sub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=</t>
    </r>
  </si>
  <si>
    <t>Correção p/ Pop. Finita</t>
  </si>
  <si>
    <t>Correcao =</t>
  </si>
  <si>
    <t>E.A. =</t>
  </si>
  <si>
    <t>Erro Amostra l%</t>
  </si>
  <si>
    <t>E.A.% =</t>
  </si>
  <si>
    <t>Número de árvores por quadra</t>
  </si>
  <si>
    <r>
      <t>Tau_x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</si>
  <si>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mu_x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</si>
  <si>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Tau_x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</si>
  <si>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mu_x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</si>
  <si>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t>Número de Árvores por Km de Via Pública</t>
  </si>
  <si>
    <t>árvores/Km</t>
  </si>
  <si>
    <r>
      <t>(árvores/Km)</t>
    </r>
    <r>
      <rPr>
        <vertAlign val="superscript"/>
        <sz val="11"/>
        <color theme="1"/>
        <rFont val="Calibri"/>
        <family val="2"/>
        <scheme val="minor"/>
      </rPr>
      <t>2</t>
    </r>
  </si>
  <si>
    <t>Número de Árvores por Km² de Via Pública</t>
  </si>
  <si>
    <t>árvores/Km²</t>
  </si>
  <si>
    <r>
      <t>árvores/Km</t>
    </r>
    <r>
      <rPr>
        <b/>
        <sz val="11"/>
        <rFont val="Calibri"/>
        <family val="2"/>
        <scheme val="minor"/>
      </rPr>
      <t>²</t>
    </r>
  </si>
  <si>
    <r>
      <t>(árvores/Km²)</t>
    </r>
    <r>
      <rPr>
        <vertAlign val="superscript"/>
        <sz val="11"/>
        <rFont val="Calibri"/>
        <family val="2"/>
        <scheme val="minor"/>
      </rPr>
      <t>2</t>
    </r>
  </si>
  <si>
    <t>Tamanho de Amostra Para Erro Amostral</t>
  </si>
  <si>
    <t xml:space="preserve">V_% = </t>
  </si>
  <si>
    <t>Quadra</t>
  </si>
  <si>
    <t>y_i^2</t>
  </si>
  <si>
    <t>mu_y =</t>
  </si>
  <si>
    <t>arvores</t>
  </si>
  <si>
    <t>R =</t>
  </si>
  <si>
    <t>arvores/Km</t>
  </si>
  <si>
    <t>Soma(y_i^2) =</t>
  </si>
  <si>
    <t>Soma(x_i^2) =</t>
  </si>
  <si>
    <t>Soma(x_i y_i) =</t>
  </si>
  <si>
    <t>s^2_R =</t>
  </si>
  <si>
    <t>(y_i – R xa_i)^2</t>
  </si>
  <si>
    <t>xa_i^2</t>
  </si>
  <si>
    <t>xa_i y_i</t>
  </si>
  <si>
    <t>É o próprio estimador de razão (mu_R = R)</t>
  </si>
  <si>
    <t>Correção para População Finita</t>
  </si>
  <si>
    <t>correcao =</t>
  </si>
  <si>
    <t>Variância do Estimador</t>
  </si>
  <si>
    <t>Var( R ) =</t>
  </si>
  <si>
    <t>(arvores/Km)^2</t>
  </si>
  <si>
    <t>E.A. % =</t>
  </si>
  <si>
    <r>
      <t>(arvores/Km)</t>
    </r>
    <r>
      <rPr>
        <vertAlign val="superscript"/>
        <sz val="11"/>
        <rFont val="Calibri"/>
        <family val="2"/>
        <scheme val="minor"/>
      </rPr>
      <t>2</t>
    </r>
  </si>
  <si>
    <t>xb_i^2</t>
  </si>
  <si>
    <t>xb_i y_i</t>
  </si>
  <si>
    <t>arvores/Km²</t>
  </si>
  <si>
    <t>(y_i – R xb_i)^2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</si>
</sst>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"/>
    <numFmt numFmtId="165" formatCode="#,##0.000"/>
    <numFmt numFmtId="166" formatCode="#,##0_);[Red]\(#,##0\)"/>
    <numFmt numFmtId="167" formatCode="#,##0.0000"/>
    <numFmt numFmtId="168" formatCode="0.0"/>
    <numFmt numFmtId="169" formatCode="#,##0.00000"/>
    <numFmt numFmtId="170" formatCode="0.00000"/>
    <numFmt numFmtId="171" formatCode="#,##0.000000"/>
    <numFmt numFmtId="172" formatCode="#,##0.0000000"/>
    <numFmt numFmtId="173" formatCode="#,##0.000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i/>
      <sz val="10"/>
      <name val="Arial"/>
      <family val="2"/>
      <charset val="1"/>
    </font>
    <font>
      <i/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4"/>
      <name val="Arial"/>
      <family val="2"/>
      <charset val="1"/>
    </font>
    <font>
      <b/>
      <vertAlign val="subscript"/>
      <sz val="10"/>
      <name val="Arial"/>
      <family val="2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i/>
      <sz val="10"/>
      <color rgb="FFFF0000"/>
      <name val="Arial"/>
      <family val="2"/>
      <charset val="1"/>
    </font>
    <font>
      <vertAlign val="subscript"/>
      <sz val="1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theme="4"/>
      <name val="Arial"/>
      <family val="2"/>
    </font>
    <font>
      <vertAlign val="superscript"/>
      <sz val="11"/>
      <name val="Calibri"/>
      <family val="2"/>
      <scheme val="minor"/>
    </font>
    <font>
      <i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3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164" fontId="0" fillId="0" borderId="0" xfId="0" applyNumberFormat="1" applyBorder="1" applyAlignment="1">
      <alignment horizontal="left"/>
    </xf>
    <xf numFmtId="0" fontId="0" fillId="0" borderId="8" xfId="0" applyBorder="1"/>
    <xf numFmtId="165" fontId="0" fillId="0" borderId="0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4" fontId="0" fillId="0" borderId="10" xfId="0" applyNumberFormat="1" applyBorder="1" applyAlignment="1">
      <alignment horizontal="left"/>
    </xf>
    <xf numFmtId="0" fontId="0" fillId="0" borderId="11" xfId="0" applyBorder="1"/>
    <xf numFmtId="0" fontId="0" fillId="0" borderId="5" xfId="0" applyBorder="1"/>
    <xf numFmtId="0" fontId="0" fillId="0" borderId="7" xfId="0" applyBorder="1" applyAlignment="1">
      <alignment horizontal="right"/>
    </xf>
    <xf numFmtId="0" fontId="0" fillId="0" borderId="0" xfId="0" applyBorder="1"/>
    <xf numFmtId="0" fontId="0" fillId="0" borderId="10" xfId="0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166" fontId="0" fillId="0" borderId="0" xfId="0" applyNumberFormat="1" applyBorder="1" applyAlignment="1">
      <alignment horizontal="left"/>
    </xf>
    <xf numFmtId="0" fontId="3" fillId="0" borderId="7" xfId="0" applyFont="1" applyBorder="1" applyAlignment="1">
      <alignment horizontal="right"/>
    </xf>
    <xf numFmtId="166" fontId="0" fillId="0" borderId="10" xfId="0" applyNumberFormat="1" applyBorder="1" applyAlignment="1">
      <alignment horizontal="left"/>
    </xf>
    <xf numFmtId="165" fontId="0" fillId="0" borderId="0" xfId="0" applyNumberFormat="1"/>
    <xf numFmtId="0" fontId="5" fillId="0" borderId="1" xfId="0" applyFont="1" applyBorder="1"/>
    <xf numFmtId="0" fontId="0" fillId="0" borderId="5" xfId="0" applyBorder="1" applyAlignment="1">
      <alignment horizontal="left"/>
    </xf>
    <xf numFmtId="167" fontId="0" fillId="0" borderId="0" xfId="0" applyNumberFormat="1" applyBorder="1"/>
    <xf numFmtId="167" fontId="0" fillId="0" borderId="10" xfId="0" applyNumberFormat="1" applyBorder="1"/>
    <xf numFmtId="0" fontId="1" fillId="0" borderId="1" xfId="0" applyFont="1" applyBorder="1" applyAlignment="1">
      <alignment horizontal="right"/>
    </xf>
    <xf numFmtId="167" fontId="0" fillId="0" borderId="15" xfId="0" applyNumberFormat="1" applyBorder="1"/>
    <xf numFmtId="167" fontId="0" fillId="0" borderId="16" xfId="0" applyNumberFormat="1" applyBorder="1"/>
    <xf numFmtId="0" fontId="0" fillId="0" borderId="16" xfId="0" applyBorder="1"/>
    <xf numFmtId="167" fontId="0" fillId="0" borderId="17" xfId="0" applyNumberFormat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8" fontId="0" fillId="0" borderId="0" xfId="0" applyNumberFormat="1"/>
    <xf numFmtId="0" fontId="10" fillId="0" borderId="0" xfId="0" applyFont="1"/>
    <xf numFmtId="0" fontId="7" fillId="0" borderId="0" xfId="0" applyFont="1"/>
    <xf numFmtId="0" fontId="13" fillId="0" borderId="3" xfId="0" applyFont="1" applyBorder="1" applyAlignment="1">
      <alignment horizontal="center" vertical="center" wrapText="1"/>
    </xf>
    <xf numFmtId="0" fontId="15" fillId="0" borderId="0" xfId="0" applyFont="1"/>
    <xf numFmtId="165" fontId="10" fillId="0" borderId="0" xfId="0" applyNumberFormat="1" applyFont="1"/>
    <xf numFmtId="4" fontId="18" fillId="0" borderId="0" xfId="0" applyNumberFormat="1" applyFont="1"/>
    <xf numFmtId="0" fontId="13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7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horizontal="center" vertical="center"/>
    </xf>
    <xf numFmtId="16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10" fillId="0" borderId="0" xfId="0" applyNumberFormat="1" applyFont="1"/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0" xfId="0" applyNumberFormat="1" applyFont="1"/>
    <xf numFmtId="167" fontId="7" fillId="0" borderId="7" xfId="0" applyNumberFormat="1" applyFont="1" applyBorder="1" applyAlignment="1">
      <alignment horizontal="center" vertical="center"/>
    </xf>
    <xf numFmtId="169" fontId="7" fillId="0" borderId="7" xfId="0" applyNumberFormat="1" applyFont="1" applyBorder="1" applyAlignment="1">
      <alignment horizontal="center" vertical="center"/>
    </xf>
    <xf numFmtId="172" fontId="7" fillId="0" borderId="7" xfId="0" applyNumberFormat="1" applyFont="1" applyBorder="1" applyAlignment="1">
      <alignment horizontal="center" vertical="center"/>
    </xf>
    <xf numFmtId="173" fontId="7" fillId="0" borderId="7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7" fontId="7" fillId="0" borderId="1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7" fontId="7" fillId="0" borderId="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7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1" fontId="13" fillId="2" borderId="2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7" fontId="7" fillId="0" borderId="1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2" fontId="7" fillId="0" borderId="5" xfId="0" applyNumberFormat="1" applyFont="1" applyBorder="1" applyAlignment="1">
      <alignment horizontal="center" vertical="center"/>
    </xf>
    <xf numFmtId="170" fontId="7" fillId="0" borderId="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0" xfId="0" applyFont="1" applyBorder="1"/>
    <xf numFmtId="172" fontId="12" fillId="0" borderId="5" xfId="0" applyNumberFormat="1" applyFont="1" applyBorder="1" applyAlignment="1">
      <alignment horizontal="center" vertical="center"/>
    </xf>
    <xf numFmtId="170" fontId="12" fillId="0" borderId="0" xfId="0" applyNumberFormat="1" applyFont="1" applyBorder="1" applyAlignment="1">
      <alignment horizontal="center" vertical="center"/>
    </xf>
    <xf numFmtId="169" fontId="12" fillId="0" borderId="0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0" fillId="0" borderId="0" xfId="0" applyFont="1"/>
    <xf numFmtId="0" fontId="0" fillId="0" borderId="4" xfId="0" applyFont="1" applyBorder="1" applyAlignment="1">
      <alignment horizontal="center" vertical="center"/>
    </xf>
    <xf numFmtId="171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1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C922-C5B6-4EBA-B1C3-4BD632D9BCB6}">
  <dimension ref="A1:AF47"/>
  <sheetViews>
    <sheetView topLeftCell="Q2" workbookViewId="0">
      <selection activeCell="X6" sqref="X6:AF8"/>
    </sheetView>
  </sheetViews>
  <sheetFormatPr defaultRowHeight="15" x14ac:dyDescent="0.25"/>
  <cols>
    <col min="2" max="2" width="12.85546875" customWidth="1"/>
    <col min="3" max="3" width="14.140625" customWidth="1"/>
    <col min="4" max="4" width="14.7109375" customWidth="1"/>
    <col min="5" max="5" width="16.85546875" customWidth="1"/>
    <col min="8" max="8" width="10.85546875" customWidth="1"/>
    <col min="9" max="9" width="11.28515625" customWidth="1"/>
    <col min="10" max="10" width="11.5703125" customWidth="1"/>
    <col min="11" max="11" width="10.5703125" customWidth="1"/>
    <col min="13" max="13" width="12" customWidth="1"/>
    <col min="18" max="18" width="22.28515625" customWidth="1"/>
    <col min="19" max="19" width="12.28515625" customWidth="1"/>
    <col min="20" max="20" width="11.7109375" customWidth="1"/>
    <col min="21" max="21" width="20.140625" customWidth="1"/>
    <col min="22" max="22" width="18" customWidth="1"/>
  </cols>
  <sheetData>
    <row r="1" spans="1:32" ht="15" customHeight="1" x14ac:dyDescent="0.2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32" ht="15" customHeight="1" x14ac:dyDescent="0.2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32" x14ac:dyDescent="0.25">
      <c r="A3" s="189" t="s">
        <v>6</v>
      </c>
      <c r="B3" s="189"/>
      <c r="C3" s="189"/>
      <c r="D3" s="189"/>
      <c r="E3" s="189"/>
      <c r="F3" s="189"/>
      <c r="G3" s="189"/>
      <c r="H3" s="189"/>
    </row>
    <row r="4" spans="1:32" ht="15" customHeight="1" x14ac:dyDescent="0.25">
      <c r="A4" s="190" t="s">
        <v>7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32" ht="42.75" customHeight="1" thickBot="1" x14ac:dyDescent="0.3">
      <c r="I5" s="175" t="s">
        <v>45</v>
      </c>
      <c r="J5" s="175"/>
      <c r="K5" s="175"/>
      <c r="L5" s="175"/>
      <c r="M5" s="175"/>
      <c r="R5" s="175" t="s">
        <v>46</v>
      </c>
      <c r="S5" s="175"/>
      <c r="T5" s="175"/>
      <c r="U5" s="175"/>
    </row>
    <row r="6" spans="1:32" ht="15.75" x14ac:dyDescent="0.3">
      <c r="I6" s="181" t="s">
        <v>18</v>
      </c>
      <c r="J6" s="182"/>
      <c r="K6" s="7" t="s">
        <v>9</v>
      </c>
      <c r="L6" s="8">
        <v>500</v>
      </c>
      <c r="M6" s="9" t="s">
        <v>10</v>
      </c>
      <c r="R6" s="30" t="s">
        <v>8</v>
      </c>
      <c r="S6" s="32" t="s">
        <v>42</v>
      </c>
      <c r="T6" s="8">
        <v>500</v>
      </c>
      <c r="U6" s="9" t="s">
        <v>10</v>
      </c>
      <c r="X6" s="178" t="s">
        <v>65</v>
      </c>
      <c r="Y6" s="178"/>
      <c r="Z6" s="178"/>
      <c r="AA6" s="178"/>
      <c r="AB6" s="178"/>
      <c r="AC6" s="178"/>
    </row>
    <row r="7" spans="1:32" ht="30" x14ac:dyDescent="0.25">
      <c r="B7" s="29" t="s">
        <v>2</v>
      </c>
      <c r="C7" s="29" t="s">
        <v>3</v>
      </c>
      <c r="D7" s="29" t="s">
        <v>4</v>
      </c>
      <c r="E7" s="29" t="s">
        <v>5</v>
      </c>
      <c r="I7" s="187" t="s">
        <v>15</v>
      </c>
      <c r="J7" s="188"/>
      <c r="K7" s="10"/>
      <c r="L7" s="11">
        <v>12500</v>
      </c>
      <c r="M7" s="12" t="s">
        <v>11</v>
      </c>
      <c r="R7" s="31" t="s">
        <v>15</v>
      </c>
      <c r="S7" s="18" t="s">
        <v>43</v>
      </c>
      <c r="T7" s="33">
        <v>12500</v>
      </c>
      <c r="U7" s="12" t="s">
        <v>11</v>
      </c>
      <c r="X7" s="179" t="s">
        <v>66</v>
      </c>
      <c r="Y7" s="179"/>
      <c r="Z7" s="179"/>
      <c r="AA7" s="180" t="s">
        <v>67</v>
      </c>
      <c r="AB7" s="180"/>
      <c r="AC7" s="180"/>
      <c r="AD7" s="5"/>
      <c r="AE7">
        <f>ROUNDUP((W44/L13)*100,0)</f>
        <v>17</v>
      </c>
      <c r="AF7" t="s">
        <v>35</v>
      </c>
    </row>
    <row r="8" spans="1:32" ht="28.5" customHeight="1" x14ac:dyDescent="0.3">
      <c r="B8" s="2">
        <v>101</v>
      </c>
      <c r="C8" s="2">
        <v>0.115</v>
      </c>
      <c r="D8" s="2">
        <v>47</v>
      </c>
      <c r="E8" s="3">
        <f>D8/C8</f>
        <v>408.695652173913</v>
      </c>
      <c r="I8" s="187" t="s">
        <v>16</v>
      </c>
      <c r="J8" s="188"/>
      <c r="K8" s="10"/>
      <c r="L8" s="13">
        <v>0.4</v>
      </c>
      <c r="M8" s="12" t="s">
        <v>10</v>
      </c>
      <c r="R8" s="31" t="s">
        <v>12</v>
      </c>
      <c r="S8" s="34" t="s">
        <v>44</v>
      </c>
      <c r="T8" s="13">
        <v>0.4</v>
      </c>
      <c r="U8" s="12" t="s">
        <v>10</v>
      </c>
      <c r="X8" s="179" t="s">
        <v>68</v>
      </c>
      <c r="Y8" s="179"/>
      <c r="Z8" s="179"/>
      <c r="AA8" s="179"/>
      <c r="AB8" s="180" t="s">
        <v>69</v>
      </c>
      <c r="AC8" s="180"/>
      <c r="AD8" s="5"/>
      <c r="AE8">
        <f>ROUNDUP((AC47/K30)*100,0)</f>
        <v>48</v>
      </c>
      <c r="AF8" t="s">
        <v>35</v>
      </c>
    </row>
    <row r="9" spans="1:32" ht="30.75" thickBot="1" x14ac:dyDescent="0.3">
      <c r="B9" s="2">
        <v>405</v>
      </c>
      <c r="C9" s="2">
        <v>0.25</v>
      </c>
      <c r="D9" s="2">
        <v>72</v>
      </c>
      <c r="E9" s="3">
        <f t="shared" ref="E9:E24" si="0">D9/C9</f>
        <v>288</v>
      </c>
      <c r="I9" s="187" t="s">
        <v>17</v>
      </c>
      <c r="J9" s="188"/>
      <c r="K9" s="14" t="s">
        <v>14</v>
      </c>
      <c r="L9" s="15">
        <v>1250</v>
      </c>
      <c r="M9" s="16"/>
      <c r="R9" s="31" t="s">
        <v>13</v>
      </c>
      <c r="S9" s="14" t="s">
        <v>14</v>
      </c>
      <c r="T9" s="35">
        <v>1250</v>
      </c>
      <c r="U9" s="16"/>
    </row>
    <row r="10" spans="1:32" ht="28.5" customHeight="1" x14ac:dyDescent="0.25">
      <c r="B10" s="2">
        <v>408</v>
      </c>
      <c r="C10" s="2">
        <v>0.25</v>
      </c>
      <c r="D10" s="2">
        <v>83</v>
      </c>
      <c r="E10" s="3">
        <f t="shared" si="0"/>
        <v>332</v>
      </c>
    </row>
    <row r="11" spans="1:32" ht="27" customHeight="1" thickBot="1" x14ac:dyDescent="0.3">
      <c r="B11" s="2">
        <v>410</v>
      </c>
      <c r="C11" s="2">
        <v>0.25</v>
      </c>
      <c r="D11" s="2">
        <v>95</v>
      </c>
      <c r="E11" s="3">
        <f t="shared" si="0"/>
        <v>380</v>
      </c>
      <c r="I11" s="162" t="s">
        <v>19</v>
      </c>
      <c r="J11" s="162"/>
      <c r="K11" s="19"/>
      <c r="L11" s="19"/>
      <c r="M11" s="19"/>
      <c r="R11" s="37" t="s">
        <v>47</v>
      </c>
      <c r="S11" s="5"/>
      <c r="T11" s="36"/>
    </row>
    <row r="12" spans="1:32" ht="27.75" customHeight="1" thickBot="1" x14ac:dyDescent="0.3">
      <c r="B12" s="2">
        <v>412</v>
      </c>
      <c r="C12" s="2">
        <v>0.25</v>
      </c>
      <c r="D12" s="2">
        <v>105</v>
      </c>
      <c r="E12" s="3">
        <f t="shared" si="0"/>
        <v>420</v>
      </c>
      <c r="I12" s="183" t="s">
        <v>20</v>
      </c>
      <c r="J12" s="184"/>
      <c r="K12" s="7" t="s">
        <v>21</v>
      </c>
      <c r="L12" s="17">
        <f>ROUNDUP(AVERAGE(E8:E24),3)</f>
        <v>334.041</v>
      </c>
      <c r="M12" s="9" t="s">
        <v>22</v>
      </c>
      <c r="R12" s="3" t="s">
        <v>48</v>
      </c>
      <c r="S12" s="5"/>
    </row>
    <row r="13" spans="1:32" x14ac:dyDescent="0.25">
      <c r="B13" s="2">
        <v>413</v>
      </c>
      <c r="C13" s="2">
        <v>0.25</v>
      </c>
      <c r="D13" s="2">
        <v>108</v>
      </c>
      <c r="E13" s="3">
        <f t="shared" si="0"/>
        <v>432</v>
      </c>
      <c r="I13" s="185" t="s">
        <v>23</v>
      </c>
      <c r="J13" s="186"/>
      <c r="K13" s="18" t="s">
        <v>24</v>
      </c>
      <c r="L13" s="19">
        <f>ROUNDUP(_xlfn.VAR.S(E8:E24),3)</f>
        <v>3692.9640000000004</v>
      </c>
      <c r="M13" s="12" t="s">
        <v>22</v>
      </c>
      <c r="R13" s="23" t="s">
        <v>49</v>
      </c>
      <c r="S13" s="7" t="s">
        <v>50</v>
      </c>
      <c r="T13" s="38">
        <v>17</v>
      </c>
      <c r="U13" s="9"/>
    </row>
    <row r="14" spans="1:32" x14ac:dyDescent="0.25">
      <c r="B14" s="2">
        <v>415</v>
      </c>
      <c r="C14" s="2">
        <v>0.25</v>
      </c>
      <c r="D14" s="2">
        <v>60</v>
      </c>
      <c r="E14" s="3">
        <f t="shared" si="0"/>
        <v>240</v>
      </c>
      <c r="I14" s="180" t="s">
        <v>25</v>
      </c>
      <c r="J14" s="185"/>
      <c r="K14" s="18" t="s">
        <v>26</v>
      </c>
      <c r="L14" s="19">
        <f>COUNT(D8:D24)</f>
        <v>17</v>
      </c>
      <c r="M14" s="12"/>
      <c r="R14" s="176" t="s">
        <v>51</v>
      </c>
      <c r="S14" s="18" t="s">
        <v>52</v>
      </c>
      <c r="T14" s="39">
        <f>AVERAGE(D8:D24)</f>
        <v>116.76470588235294</v>
      </c>
      <c r="U14" s="12" t="s">
        <v>53</v>
      </c>
    </row>
    <row r="15" spans="1:32" x14ac:dyDescent="0.25">
      <c r="B15" s="2">
        <v>416</v>
      </c>
      <c r="C15" s="2">
        <v>0.25</v>
      </c>
      <c r="D15" s="2">
        <v>91</v>
      </c>
      <c r="E15" s="3">
        <f t="shared" si="0"/>
        <v>364</v>
      </c>
      <c r="I15" s="180" t="s">
        <v>27</v>
      </c>
      <c r="J15" s="185"/>
      <c r="K15" s="18" t="s">
        <v>28</v>
      </c>
      <c r="L15" s="19">
        <f>1-(L14/L9)</f>
        <v>0.98640000000000005</v>
      </c>
      <c r="M15" s="12"/>
      <c r="R15" s="177"/>
      <c r="S15" s="18" t="s">
        <v>54</v>
      </c>
      <c r="T15" s="39">
        <f>AVERAGE(C8:C24)</f>
        <v>0.35970588235294121</v>
      </c>
      <c r="U15" s="12" t="s">
        <v>10</v>
      </c>
    </row>
    <row r="16" spans="1:32" ht="15.75" thickBot="1" x14ac:dyDescent="0.3">
      <c r="B16" s="2">
        <v>417</v>
      </c>
      <c r="C16" s="2">
        <v>0.25</v>
      </c>
      <c r="D16" s="2">
        <v>83</v>
      </c>
      <c r="E16" s="3">
        <f t="shared" si="0"/>
        <v>332</v>
      </c>
      <c r="I16" s="180" t="s">
        <v>29</v>
      </c>
      <c r="J16" s="185"/>
      <c r="K16" s="18" t="s">
        <v>30</v>
      </c>
      <c r="L16" s="19">
        <f>ROUNDUP((L13/L14)*(L15),3)</f>
        <v>214.279</v>
      </c>
      <c r="M16" s="12"/>
      <c r="R16" s="23" t="s">
        <v>46</v>
      </c>
      <c r="S16" s="14" t="s">
        <v>55</v>
      </c>
      <c r="T16" s="40">
        <f>T14/T15</f>
        <v>324.6116107931316</v>
      </c>
      <c r="U16" s="16" t="s">
        <v>22</v>
      </c>
    </row>
    <row r="17" spans="2:24" x14ac:dyDescent="0.25">
      <c r="B17" s="2">
        <v>401</v>
      </c>
      <c r="C17" s="2">
        <v>0.5</v>
      </c>
      <c r="D17" s="2">
        <v>158</v>
      </c>
      <c r="E17" s="3">
        <f t="shared" si="0"/>
        <v>316</v>
      </c>
      <c r="I17" s="180" t="s">
        <v>31</v>
      </c>
      <c r="J17" s="185"/>
      <c r="K17" s="18" t="s">
        <v>32</v>
      </c>
      <c r="L17" s="19">
        <v>2.12</v>
      </c>
      <c r="M17" s="12"/>
    </row>
    <row r="18" spans="2:24" x14ac:dyDescent="0.25">
      <c r="B18" s="2">
        <v>403</v>
      </c>
      <c r="C18" s="2">
        <v>0.5</v>
      </c>
      <c r="D18" s="2">
        <v>121</v>
      </c>
      <c r="E18" s="3">
        <f t="shared" si="0"/>
        <v>242</v>
      </c>
      <c r="I18" s="180" t="s">
        <v>33</v>
      </c>
      <c r="J18" s="185"/>
      <c r="K18" s="18"/>
      <c r="L18" s="19">
        <f>L17*((L16)^(1/2))</f>
        <v>31.033136122538437</v>
      </c>
      <c r="M18" s="12"/>
    </row>
    <row r="19" spans="2:24" ht="15.75" thickBot="1" x14ac:dyDescent="0.3">
      <c r="B19" s="2">
        <v>404</v>
      </c>
      <c r="C19" s="2">
        <v>0.5</v>
      </c>
      <c r="D19" s="2">
        <v>120</v>
      </c>
      <c r="E19" s="3">
        <f t="shared" si="0"/>
        <v>240</v>
      </c>
      <c r="I19" s="180" t="s">
        <v>34</v>
      </c>
      <c r="J19" s="185"/>
      <c r="K19" s="14"/>
      <c r="L19" s="20">
        <f>ROUNDUP(((L18/L12)*100),0)</f>
        <v>10</v>
      </c>
      <c r="M19" s="16" t="s">
        <v>35</v>
      </c>
    </row>
    <row r="20" spans="2:24" ht="32.25" customHeight="1" x14ac:dyDescent="0.25">
      <c r="B20" s="2">
        <v>406</v>
      </c>
      <c r="C20" s="2">
        <v>0.5</v>
      </c>
      <c r="D20" s="2">
        <v>171</v>
      </c>
      <c r="E20" s="3">
        <f t="shared" si="0"/>
        <v>342</v>
      </c>
      <c r="R20" s="1" t="s">
        <v>2</v>
      </c>
      <c r="S20" s="1" t="s">
        <v>3</v>
      </c>
      <c r="T20" s="1" t="s">
        <v>4</v>
      </c>
      <c r="U20" s="1" t="s">
        <v>56</v>
      </c>
      <c r="V20" s="1" t="s">
        <v>57</v>
      </c>
      <c r="W20" s="1" t="s">
        <v>58</v>
      </c>
      <c r="X20" s="1" t="s">
        <v>59</v>
      </c>
    </row>
    <row r="21" spans="2:24" ht="21.75" customHeight="1" x14ac:dyDescent="0.25">
      <c r="B21" s="2">
        <v>407</v>
      </c>
      <c r="C21" s="2">
        <v>0.5</v>
      </c>
      <c r="D21" s="2">
        <v>143</v>
      </c>
      <c r="E21" s="3">
        <f t="shared" si="0"/>
        <v>286</v>
      </c>
      <c r="I21" s="162" t="s">
        <v>36</v>
      </c>
      <c r="J21" s="162"/>
      <c r="K21" s="162"/>
      <c r="L21" s="162"/>
      <c r="R21" s="2">
        <v>101</v>
      </c>
      <c r="S21" s="2">
        <v>0.115</v>
      </c>
      <c r="T21" s="2">
        <v>47</v>
      </c>
      <c r="U21" s="3">
        <f>(T21-(S21*T16))^2</f>
        <v>93.502416547382637</v>
      </c>
      <c r="V21" s="3">
        <f>T21^2</f>
        <v>2209</v>
      </c>
      <c r="W21" s="3">
        <f>S21^2</f>
        <v>1.3225000000000001E-2</v>
      </c>
      <c r="X21" s="3">
        <f>T21*S21</f>
        <v>5.4050000000000002</v>
      </c>
    </row>
    <row r="22" spans="2:24" ht="15.75" thickBot="1" x14ac:dyDescent="0.3">
      <c r="B22" s="2">
        <v>409</v>
      </c>
      <c r="C22" s="2">
        <v>0.5</v>
      </c>
      <c r="D22" s="2">
        <v>166</v>
      </c>
      <c r="E22" s="3">
        <f t="shared" si="0"/>
        <v>332</v>
      </c>
      <c r="R22" s="2">
        <v>405</v>
      </c>
      <c r="S22" s="2">
        <v>0.25</v>
      </c>
      <c r="T22" s="2">
        <v>72</v>
      </c>
      <c r="U22" s="3">
        <f>(T22-(S22*T16))^2</f>
        <v>83.775627804234404</v>
      </c>
      <c r="V22" s="3">
        <f t="shared" ref="V22:V37" si="1">T22^2</f>
        <v>5184</v>
      </c>
      <c r="W22" s="3">
        <f t="shared" ref="W22:W37" si="2">S22^2</f>
        <v>6.25E-2</v>
      </c>
      <c r="X22" s="3">
        <f t="shared" ref="X22:X37" si="3">T22*S22</f>
        <v>18</v>
      </c>
    </row>
    <row r="23" spans="2:24" x14ac:dyDescent="0.25">
      <c r="B23" s="2">
        <v>411</v>
      </c>
      <c r="C23" s="2">
        <v>0.5</v>
      </c>
      <c r="D23" s="2">
        <v>192</v>
      </c>
      <c r="E23" s="3">
        <f t="shared" si="0"/>
        <v>384</v>
      </c>
      <c r="I23" s="24" t="s">
        <v>37</v>
      </c>
      <c r="J23" s="25">
        <v>5</v>
      </c>
      <c r="R23" s="2">
        <v>408</v>
      </c>
      <c r="S23" s="2">
        <v>0.25</v>
      </c>
      <c r="T23" s="2">
        <v>83</v>
      </c>
      <c r="U23" s="3">
        <f>(T23-(S23*T16))^2</f>
        <v>3.411768442010588</v>
      </c>
      <c r="V23" s="3">
        <f t="shared" si="1"/>
        <v>6889</v>
      </c>
      <c r="W23" s="3">
        <f t="shared" si="2"/>
        <v>6.25E-2</v>
      </c>
      <c r="X23" s="3">
        <f t="shared" si="3"/>
        <v>20.75</v>
      </c>
    </row>
    <row r="24" spans="2:24" ht="15.75" thickBot="1" x14ac:dyDescent="0.3">
      <c r="B24" s="2">
        <v>414</v>
      </c>
      <c r="C24" s="2">
        <v>0.5</v>
      </c>
      <c r="D24" s="2">
        <v>170</v>
      </c>
      <c r="E24" s="3">
        <f t="shared" si="0"/>
        <v>340</v>
      </c>
      <c r="I24" s="14" t="s">
        <v>38</v>
      </c>
      <c r="J24" s="16">
        <f xml:space="preserve"> (SQRT(L13)/L12)*100</f>
        <v>18.192306398835644</v>
      </c>
      <c r="R24" s="2">
        <v>410</v>
      </c>
      <c r="S24" s="2">
        <v>0.25</v>
      </c>
      <c r="T24" s="2">
        <v>95</v>
      </c>
      <c r="U24" s="3">
        <f>(T24-(S24*T16))^2</f>
        <v>191.74210368322096</v>
      </c>
      <c r="V24" s="3">
        <f t="shared" si="1"/>
        <v>9025</v>
      </c>
      <c r="W24" s="3">
        <f t="shared" si="2"/>
        <v>6.25E-2</v>
      </c>
      <c r="X24" s="3">
        <f t="shared" si="3"/>
        <v>23.75</v>
      </c>
    </row>
    <row r="25" spans="2:24" ht="15.75" thickBot="1" x14ac:dyDescent="0.3">
      <c r="R25" s="2">
        <v>412</v>
      </c>
      <c r="S25" s="2">
        <v>0.25</v>
      </c>
      <c r="T25" s="2">
        <v>105</v>
      </c>
      <c r="U25" s="3">
        <f>(T25-(S25*T16))^2</f>
        <v>568.68404971756297</v>
      </c>
      <c r="V25" s="3">
        <f t="shared" si="1"/>
        <v>11025</v>
      </c>
      <c r="W25" s="3">
        <f t="shared" si="2"/>
        <v>6.25E-2</v>
      </c>
      <c r="X25" s="3">
        <f t="shared" si="3"/>
        <v>26.25</v>
      </c>
    </row>
    <row r="26" spans="2:24" x14ac:dyDescent="0.25">
      <c r="I26" s="21" t="s">
        <v>39</v>
      </c>
      <c r="J26" s="22" t="s">
        <v>40</v>
      </c>
      <c r="K26" s="26" t="s">
        <v>41</v>
      </c>
      <c r="R26" s="2">
        <v>413</v>
      </c>
      <c r="S26" s="2">
        <v>0.25</v>
      </c>
      <c r="T26" s="2">
        <v>108</v>
      </c>
      <c r="U26" s="3">
        <f>(T26-(S26*T16))^2</f>
        <v>720.76663352786557</v>
      </c>
      <c r="V26" s="3">
        <f t="shared" si="1"/>
        <v>11664</v>
      </c>
      <c r="W26" s="3">
        <f t="shared" si="2"/>
        <v>6.25E-2</v>
      </c>
      <c r="X26" s="3">
        <f t="shared" si="3"/>
        <v>27</v>
      </c>
    </row>
    <row r="27" spans="2:24" x14ac:dyDescent="0.25">
      <c r="I27" s="2">
        <v>1</v>
      </c>
      <c r="J27" s="23">
        <v>2.12</v>
      </c>
      <c r="K27" s="27">
        <f>_xlfn.CEILING.MATH(((J27^2*$J$24^2*$L$9)/($J$23^2*$L$9)+(J27^2*$J$24^2)))</f>
        <v>1547</v>
      </c>
      <c r="R27" s="2">
        <v>415</v>
      </c>
      <c r="S27" s="2">
        <v>0.25</v>
      </c>
      <c r="T27" s="2">
        <v>60</v>
      </c>
      <c r="U27" s="3">
        <f>(T27-(S27*T16))^2</f>
        <v>447.44529256302405</v>
      </c>
      <c r="V27" s="3">
        <f t="shared" si="1"/>
        <v>3600</v>
      </c>
      <c r="W27" s="3">
        <f t="shared" si="2"/>
        <v>6.25E-2</v>
      </c>
      <c r="X27" s="3">
        <f t="shared" si="3"/>
        <v>15</v>
      </c>
    </row>
    <row r="28" spans="2:24" x14ac:dyDescent="0.25">
      <c r="I28" s="2">
        <v>2</v>
      </c>
      <c r="J28" s="23">
        <v>1.96</v>
      </c>
      <c r="K28" s="27">
        <f>_xlfn.CEILING.MATH(((J28^2*$J$24^2*$L$9)/($J$23^2*$L$9)+(J28^2*$J$24^2)))</f>
        <v>1323</v>
      </c>
      <c r="R28" s="2">
        <v>416</v>
      </c>
      <c r="S28" s="2">
        <v>0.25</v>
      </c>
      <c r="T28" s="2">
        <v>91</v>
      </c>
      <c r="U28" s="3">
        <f t="shared" ref="U28:U36" si="4">(T28-(S28*T23))^2</f>
        <v>4935.0625</v>
      </c>
      <c r="V28" s="3">
        <f t="shared" si="1"/>
        <v>8281</v>
      </c>
      <c r="W28" s="3">
        <f t="shared" si="2"/>
        <v>6.25E-2</v>
      </c>
      <c r="X28" s="3">
        <f t="shared" si="3"/>
        <v>22.75</v>
      </c>
    </row>
    <row r="29" spans="2:24" x14ac:dyDescent="0.25">
      <c r="I29" s="2">
        <v>3</v>
      </c>
      <c r="J29" s="23">
        <v>1.96</v>
      </c>
      <c r="K29" s="27">
        <f>_xlfn.CEILING.MATH(((J29^2*$J$24^2*$L$9)/($J$23^2*$L$9)+(J29^2*$J$24^2)))</f>
        <v>1323</v>
      </c>
      <c r="R29" s="2">
        <v>417</v>
      </c>
      <c r="S29" s="2">
        <v>0.25</v>
      </c>
      <c r="T29" s="2">
        <v>83</v>
      </c>
      <c r="U29" s="3">
        <f>(T29-(S29*T16))^2</f>
        <v>3.411768442010588</v>
      </c>
      <c r="V29" s="3">
        <f t="shared" si="1"/>
        <v>6889</v>
      </c>
      <c r="W29" s="3">
        <f t="shared" si="2"/>
        <v>6.25E-2</v>
      </c>
      <c r="X29" s="3">
        <f t="shared" si="3"/>
        <v>20.75</v>
      </c>
    </row>
    <row r="30" spans="2:24" ht="15.75" thickBot="1" x14ac:dyDescent="0.3">
      <c r="I30" s="2">
        <v>4</v>
      </c>
      <c r="J30" s="23">
        <v>1.96</v>
      </c>
      <c r="K30" s="28">
        <f>_xlfn.CEILING.MATH(((J30^2*$J$24^2*$L$9)/($J$23^2*$L$9)+(J30^2*$J$24^2)))</f>
        <v>1323</v>
      </c>
      <c r="R30" s="2">
        <v>401</v>
      </c>
      <c r="S30" s="2">
        <v>0.5</v>
      </c>
      <c r="T30" s="2">
        <v>158</v>
      </c>
      <c r="U30" s="3">
        <f>(T30-(S30*T16))^2</f>
        <v>18.539960113095184</v>
      </c>
      <c r="V30" s="3">
        <f t="shared" si="1"/>
        <v>24964</v>
      </c>
      <c r="W30" s="3">
        <f t="shared" si="2"/>
        <v>0.25</v>
      </c>
      <c r="X30" s="3">
        <f t="shared" si="3"/>
        <v>79</v>
      </c>
    </row>
    <row r="31" spans="2:24" x14ac:dyDescent="0.25">
      <c r="R31" s="2">
        <v>403</v>
      </c>
      <c r="S31" s="2">
        <v>0.5</v>
      </c>
      <c r="T31" s="2">
        <v>121</v>
      </c>
      <c r="U31" s="3">
        <f>(T31-(S31*T16))^2</f>
        <v>1706.1695594589646</v>
      </c>
      <c r="V31" s="3">
        <f t="shared" si="1"/>
        <v>14641</v>
      </c>
      <c r="W31" s="3">
        <f t="shared" si="2"/>
        <v>0.25</v>
      </c>
      <c r="X31" s="3">
        <f t="shared" si="3"/>
        <v>60.5</v>
      </c>
    </row>
    <row r="32" spans="2:24" x14ac:dyDescent="0.25">
      <c r="R32" s="2">
        <v>404</v>
      </c>
      <c r="S32" s="2">
        <v>0.5</v>
      </c>
      <c r="T32" s="2">
        <v>120</v>
      </c>
      <c r="U32" s="3">
        <f>(T32-(S32*T16))^2</f>
        <v>1789.7811702520962</v>
      </c>
      <c r="V32" s="3">
        <f t="shared" si="1"/>
        <v>14400</v>
      </c>
      <c r="W32" s="3">
        <f t="shared" si="2"/>
        <v>0.25</v>
      </c>
      <c r="X32" s="3">
        <f t="shared" si="3"/>
        <v>60</v>
      </c>
    </row>
    <row r="33" spans="18:30" x14ac:dyDescent="0.25">
      <c r="R33" s="2">
        <v>406</v>
      </c>
      <c r="S33" s="2">
        <v>0.5</v>
      </c>
      <c r="T33" s="2">
        <v>171</v>
      </c>
      <c r="U33" s="3">
        <f>(T33-(S33*T16))^2</f>
        <v>75.589019802384328</v>
      </c>
      <c r="V33" s="3">
        <f t="shared" si="1"/>
        <v>29241</v>
      </c>
      <c r="W33" s="3">
        <f t="shared" si="2"/>
        <v>0.25</v>
      </c>
      <c r="X33" s="3">
        <f t="shared" si="3"/>
        <v>85.5</v>
      </c>
    </row>
    <row r="34" spans="18:30" x14ac:dyDescent="0.25">
      <c r="R34" s="2">
        <v>407</v>
      </c>
      <c r="S34" s="2">
        <v>0.5</v>
      </c>
      <c r="T34" s="2">
        <v>143</v>
      </c>
      <c r="U34" s="3">
        <f>(T34-(S34*T16))^2</f>
        <v>372.71412201006922</v>
      </c>
      <c r="V34" s="3">
        <f t="shared" si="1"/>
        <v>20449</v>
      </c>
      <c r="W34" s="3">
        <f t="shared" si="2"/>
        <v>0.25</v>
      </c>
      <c r="X34" s="3">
        <f t="shared" si="3"/>
        <v>71.5</v>
      </c>
    </row>
    <row r="35" spans="18:30" x14ac:dyDescent="0.25">
      <c r="R35" s="2">
        <v>409</v>
      </c>
      <c r="S35" s="2">
        <v>0.5</v>
      </c>
      <c r="T35" s="2">
        <v>166</v>
      </c>
      <c r="U35" s="3">
        <f>(T35-(S35*T16))^2</f>
        <v>13.647073768042352</v>
      </c>
      <c r="V35" s="3">
        <f t="shared" si="1"/>
        <v>27556</v>
      </c>
      <c r="W35" s="3">
        <f t="shared" si="2"/>
        <v>0.25</v>
      </c>
      <c r="X35" s="3">
        <f t="shared" si="3"/>
        <v>83</v>
      </c>
    </row>
    <row r="36" spans="18:30" x14ac:dyDescent="0.25">
      <c r="R36" s="2">
        <v>411</v>
      </c>
      <c r="S36" s="2">
        <v>0.5</v>
      </c>
      <c r="T36" s="2">
        <v>192</v>
      </c>
      <c r="U36" s="3">
        <f t="shared" si="4"/>
        <v>17292.25</v>
      </c>
      <c r="V36" s="3">
        <f t="shared" si="1"/>
        <v>36864</v>
      </c>
      <c r="W36" s="3">
        <f t="shared" si="2"/>
        <v>0.25</v>
      </c>
      <c r="X36" s="3">
        <f t="shared" si="3"/>
        <v>96</v>
      </c>
    </row>
    <row r="37" spans="18:30" x14ac:dyDescent="0.25">
      <c r="R37" s="2">
        <v>414</v>
      </c>
      <c r="S37" s="2">
        <v>0.5</v>
      </c>
      <c r="T37" s="2">
        <v>170</v>
      </c>
      <c r="U37" s="3">
        <f>(T37-(S37*T16))^2</f>
        <v>59.200630595515939</v>
      </c>
      <c r="V37" s="3">
        <f t="shared" si="1"/>
        <v>28900</v>
      </c>
      <c r="W37" s="3">
        <f t="shared" si="2"/>
        <v>0.25</v>
      </c>
      <c r="X37" s="3">
        <f t="shared" si="3"/>
        <v>85</v>
      </c>
    </row>
    <row r="38" spans="18:30" x14ac:dyDescent="0.25">
      <c r="AA38" s="162" t="s">
        <v>36</v>
      </c>
      <c r="AB38" s="162"/>
      <c r="AC38" s="162"/>
      <c r="AD38" s="162"/>
    </row>
    <row r="39" spans="18:30" ht="15.75" thickBot="1" x14ac:dyDescent="0.3"/>
    <row r="40" spans="18:30" ht="15.75" thickBot="1" x14ac:dyDescent="0.3">
      <c r="R40" s="41" t="s">
        <v>60</v>
      </c>
      <c r="U40" s="163" t="s">
        <v>70</v>
      </c>
      <c r="V40" s="164"/>
      <c r="W40" s="164"/>
      <c r="X40" s="164"/>
      <c r="Y40" s="164"/>
      <c r="AA40" s="24" t="s">
        <v>37</v>
      </c>
      <c r="AB40" s="25">
        <v>5</v>
      </c>
    </row>
    <row r="41" spans="18:30" ht="15.75" thickBot="1" x14ac:dyDescent="0.3">
      <c r="R41" s="23" t="s">
        <v>61</v>
      </c>
      <c r="S41" s="42">
        <f>SUM(V21:V37)</f>
        <v>261781</v>
      </c>
      <c r="U41" s="165" t="s">
        <v>71</v>
      </c>
      <c r="V41" s="166" t="s">
        <v>55</v>
      </c>
      <c r="W41" s="168">
        <f>T14/T15</f>
        <v>324.6116107931316</v>
      </c>
      <c r="X41" s="170" t="s">
        <v>22</v>
      </c>
      <c r="Y41" s="171"/>
      <c r="AA41" s="14" t="s">
        <v>38</v>
      </c>
      <c r="AB41" s="16">
        <f xml:space="preserve"> (SQRT(S45)/W41)*100</f>
        <v>12.582142528292644</v>
      </c>
    </row>
    <row r="42" spans="18:30" ht="15.75" thickBot="1" x14ac:dyDescent="0.3">
      <c r="R42" s="23" t="s">
        <v>62</v>
      </c>
      <c r="S42" s="43">
        <f>SUM(W21:W37)</f>
        <v>2.5132250000000003</v>
      </c>
      <c r="U42" s="165"/>
      <c r="V42" s="167"/>
      <c r="W42" s="169"/>
      <c r="X42" s="172"/>
      <c r="Y42" s="173"/>
    </row>
    <row r="43" spans="18:30" x14ac:dyDescent="0.25">
      <c r="R43" s="23" t="s">
        <v>63</v>
      </c>
      <c r="S43" s="43">
        <f>SUM(X21:X37)</f>
        <v>800.15499999999997</v>
      </c>
      <c r="U43" s="174" t="s">
        <v>72</v>
      </c>
      <c r="V43" s="48" t="s">
        <v>73</v>
      </c>
      <c r="W43" s="39">
        <f>1-(T13/T9)</f>
        <v>0.98640000000000005</v>
      </c>
      <c r="X43" s="158"/>
      <c r="Y43" s="159"/>
      <c r="AA43" s="21" t="s">
        <v>39</v>
      </c>
      <c r="AB43" s="22" t="s">
        <v>40</v>
      </c>
      <c r="AC43" s="26" t="s">
        <v>41</v>
      </c>
    </row>
    <row r="44" spans="18:30" x14ac:dyDescent="0.25">
      <c r="R44" s="23" t="s">
        <v>64</v>
      </c>
      <c r="S44" s="44">
        <f>(S41+T16^2*S42-2*T16*S43)/T13-1</f>
        <v>418.2406891260967</v>
      </c>
      <c r="U44" s="174"/>
      <c r="V44" s="48" t="s">
        <v>74</v>
      </c>
      <c r="W44" s="39">
        <f>(1/T8)^2*(S45/T13)*W43</f>
        <v>604.95275654091677</v>
      </c>
      <c r="X44" s="158" t="s">
        <v>78</v>
      </c>
      <c r="Y44" s="159"/>
      <c r="AA44" s="2">
        <v>1</v>
      </c>
      <c r="AB44" s="23">
        <v>2.12</v>
      </c>
      <c r="AC44" s="27">
        <f>_xlfn.CEILING.MATH(((AB44^2*$AB$41^2*$T$9)/($AB$40^2*$T$9)+(AB44^2*$AB$41^2)))</f>
        <v>740</v>
      </c>
    </row>
    <row r="45" spans="18:30" ht="15.75" thickBot="1" x14ac:dyDescent="0.3">
      <c r="R45" s="23" t="s">
        <v>64</v>
      </c>
      <c r="S45" s="45">
        <f>(SUM(U21:U37))/T13-1</f>
        <v>1668.1584527486752</v>
      </c>
      <c r="U45" s="47" t="s">
        <v>31</v>
      </c>
      <c r="V45" s="48" t="s">
        <v>75</v>
      </c>
      <c r="W45" s="39">
        <v>2.1190000000000002</v>
      </c>
      <c r="X45" s="158"/>
      <c r="Y45" s="159"/>
      <c r="AA45" s="2">
        <v>2</v>
      </c>
      <c r="AB45" s="23">
        <v>1.96</v>
      </c>
      <c r="AC45" s="27">
        <f>_xlfn.CEILING.MATH(((AB45^2*$AB$41^2*$T$9)/($AB$40^2*$T$9)+(AB45^2*$AB$41^2)))</f>
        <v>633</v>
      </c>
    </row>
    <row r="46" spans="18:30" x14ac:dyDescent="0.25">
      <c r="U46" s="47" t="s">
        <v>76</v>
      </c>
      <c r="V46" s="18"/>
      <c r="W46" s="19">
        <f>W45*SQRT(W44)</f>
        <v>52.118473445243197</v>
      </c>
      <c r="X46" s="158" t="s">
        <v>22</v>
      </c>
      <c r="Y46" s="159"/>
      <c r="AA46" s="2">
        <v>3</v>
      </c>
      <c r="AB46" s="23">
        <v>1.96</v>
      </c>
      <c r="AC46" s="27">
        <f>_xlfn.CEILING.MATH(((AB46^2*$AB$41^2*$T$9)/($AB$40^2*$T$9)+(AB46^2*$AB$41^2)))</f>
        <v>633</v>
      </c>
    </row>
    <row r="47" spans="18:30" ht="15.75" thickBot="1" x14ac:dyDescent="0.3">
      <c r="U47" s="47" t="s">
        <v>77</v>
      </c>
      <c r="V47" s="14"/>
      <c r="W47" s="20">
        <f>ROUNDUP((W46/W41)*100,0)</f>
        <v>17</v>
      </c>
      <c r="X47" s="160" t="s">
        <v>35</v>
      </c>
      <c r="Y47" s="161"/>
      <c r="AA47" s="2">
        <v>4</v>
      </c>
      <c r="AB47" s="23">
        <v>1.96</v>
      </c>
      <c r="AC47" s="28">
        <f>_xlfn.CEILING.MATH(((AB47^2*$AB$41^2*$T$9)/($AB$40^2*$T$9)+(AB47^2*$AB$41^2)))</f>
        <v>633</v>
      </c>
    </row>
  </sheetData>
  <mergeCells count="38">
    <mergeCell ref="A3:H3"/>
    <mergeCell ref="A2:M2"/>
    <mergeCell ref="A4:J4"/>
    <mergeCell ref="A1:J1"/>
    <mergeCell ref="I5:M5"/>
    <mergeCell ref="I17:J17"/>
    <mergeCell ref="I18:J18"/>
    <mergeCell ref="I19:J19"/>
    <mergeCell ref="I15:J15"/>
    <mergeCell ref="I14:J14"/>
    <mergeCell ref="I16:J16"/>
    <mergeCell ref="I7:J7"/>
    <mergeCell ref="I8:J8"/>
    <mergeCell ref="I9:J9"/>
    <mergeCell ref="I6:J6"/>
    <mergeCell ref="I11:J11"/>
    <mergeCell ref="I12:J12"/>
    <mergeCell ref="I13:J13"/>
    <mergeCell ref="I21:L21"/>
    <mergeCell ref="R5:U5"/>
    <mergeCell ref="R14:R15"/>
    <mergeCell ref="X6:AC6"/>
    <mergeCell ref="X7:Z7"/>
    <mergeCell ref="X8:AA8"/>
    <mergeCell ref="AA7:AC7"/>
    <mergeCell ref="AB8:AC8"/>
    <mergeCell ref="X45:Y45"/>
    <mergeCell ref="X46:Y46"/>
    <mergeCell ref="X47:Y47"/>
    <mergeCell ref="AA38:AD38"/>
    <mergeCell ref="U40:Y40"/>
    <mergeCell ref="U41:U42"/>
    <mergeCell ref="V41:V42"/>
    <mergeCell ref="W41:W42"/>
    <mergeCell ref="X41:Y42"/>
    <mergeCell ref="U43:U44"/>
    <mergeCell ref="X43:Y43"/>
    <mergeCell ref="X44:Y4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EA52-80D6-4745-8FFC-1F3C145576F1}">
  <dimension ref="A1:AL54"/>
  <sheetViews>
    <sheetView tabSelected="1" topLeftCell="T28" workbookViewId="0">
      <selection activeCell="Z38" sqref="Z38"/>
    </sheetView>
  </sheetViews>
  <sheetFormatPr defaultRowHeight="15" x14ac:dyDescent="0.25"/>
  <cols>
    <col min="2" max="2" width="16.5703125" customWidth="1"/>
    <col min="3" max="3" width="13.42578125" customWidth="1"/>
    <col min="4" max="4" width="13" customWidth="1"/>
    <col min="5" max="5" width="12.85546875" customWidth="1"/>
    <col min="6" max="6" width="11" customWidth="1"/>
    <col min="7" max="7" width="12.140625" customWidth="1"/>
    <col min="12" max="12" width="23.5703125" customWidth="1"/>
    <col min="13" max="13" width="13.7109375" customWidth="1"/>
    <col min="14" max="14" width="15.140625" customWidth="1"/>
    <col min="20" max="20" width="7.28515625" customWidth="1"/>
    <col min="21" max="21" width="11.42578125" customWidth="1"/>
    <col min="22" max="22" width="12.140625" customWidth="1"/>
    <col min="23" max="23" width="15.7109375" customWidth="1"/>
    <col min="24" max="24" width="13.5703125" customWidth="1"/>
    <col min="25" max="25" width="15.7109375" customWidth="1"/>
    <col min="28" max="28" width="4.140625" customWidth="1"/>
    <col min="29" max="29" width="9.5703125" customWidth="1"/>
    <col min="30" max="30" width="15.140625" customWidth="1"/>
    <col min="34" max="34" width="15.28515625" customWidth="1"/>
  </cols>
  <sheetData>
    <row r="1" spans="1:36" ht="15" customHeight="1" x14ac:dyDescent="0.25">
      <c r="A1" s="190" t="s">
        <v>79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4"/>
    </row>
    <row r="2" spans="1:36" ht="15" customHeight="1" x14ac:dyDescent="0.25">
      <c r="A2" s="190" t="s">
        <v>80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36" ht="15" customHeight="1" x14ac:dyDescent="0.25">
      <c r="A3" s="190" t="s">
        <v>81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4"/>
      <c r="O3" s="4"/>
    </row>
    <row r="5" spans="1:36" ht="48" customHeight="1" thickBot="1" x14ac:dyDescent="0.3">
      <c r="B5" s="58" t="s">
        <v>82</v>
      </c>
      <c r="C5" s="58" t="s">
        <v>85</v>
      </c>
      <c r="D5" s="58" t="s">
        <v>84</v>
      </c>
      <c r="E5" s="58" t="s">
        <v>83</v>
      </c>
      <c r="F5" s="58" t="s">
        <v>86</v>
      </c>
      <c r="G5" s="58" t="s">
        <v>87</v>
      </c>
    </row>
    <row r="6" spans="1:36" x14ac:dyDescent="0.25">
      <c r="B6" s="50">
        <v>105</v>
      </c>
      <c r="C6" s="56">
        <f>H6/$O$8</f>
        <v>0.10385999999999999</v>
      </c>
      <c r="D6" s="56">
        <f>I6/$N$8</f>
        <v>0.42332999999999998</v>
      </c>
      <c r="E6" s="56">
        <v>26</v>
      </c>
      <c r="F6" s="17">
        <f>D6/$M$8</f>
        <v>2.6808665050956915E-3</v>
      </c>
      <c r="G6" s="9">
        <f>D6/$L$8</f>
        <v>8.3332677165354321E-2</v>
      </c>
      <c r="H6" s="56">
        <f>10386</f>
        <v>10386</v>
      </c>
      <c r="I6" s="51">
        <v>423.33</v>
      </c>
      <c r="V6" s="63"/>
      <c r="W6" s="6"/>
      <c r="X6" s="64"/>
    </row>
    <row r="7" spans="1:36" ht="15.75" thickBot="1" x14ac:dyDescent="0.3">
      <c r="B7" s="52">
        <v>172</v>
      </c>
      <c r="C7" s="49">
        <f t="shared" ref="C7:C35" si="0">H7/$O$8</f>
        <v>0.10269</v>
      </c>
      <c r="D7" s="49">
        <f t="shared" ref="D7:D35" si="1">I7/$N$8</f>
        <v>0.41419</v>
      </c>
      <c r="E7" s="49">
        <v>15</v>
      </c>
      <c r="F7" s="19">
        <f t="shared" ref="F7:F34" si="2">D7/$M$8</f>
        <v>2.6229846638451907E-3</v>
      </c>
      <c r="G7" s="12">
        <f t="shared" ref="G7:G35" si="3">D7/$L$8</f>
        <v>8.1533464566929129E-2</v>
      </c>
      <c r="H7" s="49">
        <v>10269</v>
      </c>
      <c r="I7" s="53">
        <v>414.19</v>
      </c>
      <c r="L7" t="s">
        <v>88</v>
      </c>
      <c r="M7" t="s">
        <v>89</v>
      </c>
      <c r="W7" s="6"/>
      <c r="X7" s="60"/>
    </row>
    <row r="8" spans="1:36" ht="15.75" thickBot="1" x14ac:dyDescent="0.3">
      <c r="B8" s="52">
        <v>2062</v>
      </c>
      <c r="C8" s="49">
        <f t="shared" si="0"/>
        <v>0.36553999999999998</v>
      </c>
      <c r="D8" s="49">
        <f t="shared" si="1"/>
        <v>1.1760999999999999</v>
      </c>
      <c r="E8" s="49">
        <v>30</v>
      </c>
      <c r="F8" s="19">
        <f t="shared" si="2"/>
        <v>7.4480124173648046E-3</v>
      </c>
      <c r="G8" s="12">
        <f t="shared" si="3"/>
        <v>0.23151574803149605</v>
      </c>
      <c r="H8" s="49">
        <v>36554</v>
      </c>
      <c r="I8" s="53">
        <v>1176.0999999999999</v>
      </c>
      <c r="L8">
        <v>5.08</v>
      </c>
      <c r="M8" s="59">
        <v>157.90790000000001</v>
      </c>
      <c r="N8">
        <v>1000</v>
      </c>
      <c r="O8">
        <v>100000</v>
      </c>
      <c r="U8" s="201" t="s">
        <v>49</v>
      </c>
      <c r="V8" s="202"/>
      <c r="W8" s="107" t="s">
        <v>26</v>
      </c>
      <c r="X8" s="80">
        <v>30</v>
      </c>
      <c r="Y8" s="81"/>
      <c r="AC8" s="119" t="s">
        <v>118</v>
      </c>
      <c r="AD8" s="120" t="s">
        <v>128</v>
      </c>
      <c r="AE8" s="119" t="s">
        <v>119</v>
      </c>
      <c r="AF8" s="119" t="s">
        <v>129</v>
      </c>
      <c r="AG8" s="119" t="s">
        <v>130</v>
      </c>
      <c r="AH8" s="139" t="s">
        <v>142</v>
      </c>
      <c r="AI8" s="138" t="s">
        <v>139</v>
      </c>
      <c r="AJ8" s="138" t="s">
        <v>140</v>
      </c>
    </row>
    <row r="9" spans="1:36" x14ac:dyDescent="0.25">
      <c r="B9" s="52">
        <v>26355</v>
      </c>
      <c r="C9" s="49">
        <f t="shared" si="0"/>
        <v>0.12953000000000001</v>
      </c>
      <c r="D9" s="49">
        <f t="shared" si="1"/>
        <v>0.45073000000000002</v>
      </c>
      <c r="E9" s="49">
        <v>25</v>
      </c>
      <c r="F9" s="19">
        <f t="shared" si="2"/>
        <v>2.8543853727394258E-3</v>
      </c>
      <c r="G9" s="12">
        <f t="shared" si="3"/>
        <v>8.8726377952755911E-2</v>
      </c>
      <c r="H9" s="49">
        <v>12953</v>
      </c>
      <c r="I9" s="53">
        <v>450.73</v>
      </c>
      <c r="U9" s="201" t="s">
        <v>51</v>
      </c>
      <c r="V9" s="202"/>
      <c r="W9" s="121" t="s">
        <v>120</v>
      </c>
      <c r="X9" s="122">
        <f>AVERAGE(E6:E35)</f>
        <v>30.1</v>
      </c>
      <c r="Y9" s="84" t="s">
        <v>53</v>
      </c>
      <c r="AC9" s="150">
        <v>2064</v>
      </c>
      <c r="AD9" s="151">
        <v>33.966002574878225</v>
      </c>
      <c r="AE9" s="152">
        <v>676</v>
      </c>
      <c r="AF9" s="152">
        <v>0.17920828889999998</v>
      </c>
      <c r="AG9" s="152">
        <v>11.00658</v>
      </c>
      <c r="AH9" s="152">
        <v>110.31871571838111</v>
      </c>
      <c r="AI9" s="152">
        <v>1.0786899599999998E-2</v>
      </c>
      <c r="AJ9" s="90">
        <v>2.7003599999999999</v>
      </c>
    </row>
    <row r="10" spans="1:36" ht="18" x14ac:dyDescent="0.25">
      <c r="B10" s="52">
        <v>33592</v>
      </c>
      <c r="C10" s="49">
        <f t="shared" si="0"/>
        <v>9.393E-2</v>
      </c>
      <c r="D10" s="49">
        <f t="shared" si="1"/>
        <v>0.39291000000000004</v>
      </c>
      <c r="E10" s="49">
        <v>19</v>
      </c>
      <c r="F10" s="19">
        <f t="shared" si="2"/>
        <v>2.4882225651788165E-3</v>
      </c>
      <c r="G10" s="12">
        <f t="shared" si="3"/>
        <v>7.7344488188976379E-2</v>
      </c>
      <c r="H10" s="49">
        <v>9393</v>
      </c>
      <c r="I10" s="53">
        <v>392.91</v>
      </c>
      <c r="U10" s="201"/>
      <c r="V10" s="202"/>
      <c r="W10" s="121" t="s">
        <v>98</v>
      </c>
      <c r="X10" s="122">
        <f>AVERAGE(D6:D35)</f>
        <v>0.63168033333333329</v>
      </c>
      <c r="Y10" s="84" t="s">
        <v>93</v>
      </c>
      <c r="AC10" s="153">
        <v>2066</v>
      </c>
      <c r="AD10" s="154">
        <v>22.433833910764019</v>
      </c>
      <c r="AE10" s="155">
        <v>225</v>
      </c>
      <c r="AF10" s="155">
        <v>0.1715533561</v>
      </c>
      <c r="AG10" s="155">
        <v>6.2128500000000004</v>
      </c>
      <c r="AH10" s="155">
        <v>0.10378393198477498</v>
      </c>
      <c r="AI10" s="155">
        <v>1.0545236100000001E-2</v>
      </c>
      <c r="AJ10" s="91">
        <v>1.5403500000000001</v>
      </c>
    </row>
    <row r="11" spans="1:36" ht="15.75" thickBot="1" x14ac:dyDescent="0.3">
      <c r="B11" s="52">
        <v>43007</v>
      </c>
      <c r="C11" s="49">
        <f t="shared" si="0"/>
        <v>0.24703</v>
      </c>
      <c r="D11" s="49">
        <f t="shared" si="1"/>
        <v>0.66295000000000004</v>
      </c>
      <c r="E11" s="49">
        <v>43</v>
      </c>
      <c r="F11" s="19">
        <f t="shared" si="2"/>
        <v>4.1983333322778661E-3</v>
      </c>
      <c r="G11" s="12">
        <f t="shared" si="3"/>
        <v>0.13050196850393703</v>
      </c>
      <c r="H11" s="49">
        <v>24703</v>
      </c>
      <c r="I11" s="53">
        <v>662.95</v>
      </c>
      <c r="U11" s="201" t="s">
        <v>46</v>
      </c>
      <c r="V11" s="202"/>
      <c r="W11" s="121" t="s">
        <v>122</v>
      </c>
      <c r="X11" s="83">
        <f>X9/X10</f>
        <v>47.650684074909201</v>
      </c>
      <c r="Y11" s="84" t="s">
        <v>123</v>
      </c>
      <c r="AC11" s="153">
        <v>42416</v>
      </c>
      <c r="AD11" s="154">
        <v>678.18417754836673</v>
      </c>
      <c r="AE11" s="155">
        <v>900</v>
      </c>
      <c r="AF11" s="155">
        <v>1.3832112099999998</v>
      </c>
      <c r="AG11" s="155">
        <v>35.283000000000001</v>
      </c>
      <c r="AH11" s="155">
        <v>602.28233224159953</v>
      </c>
      <c r="AI11" s="155">
        <v>0.13361949159999997</v>
      </c>
      <c r="AJ11" s="91">
        <v>10.966199999999999</v>
      </c>
    </row>
    <row r="12" spans="1:36" ht="30" x14ac:dyDescent="0.25">
      <c r="B12" s="52">
        <v>47173</v>
      </c>
      <c r="C12" s="49">
        <f t="shared" si="0"/>
        <v>7.2050000000000003E-2</v>
      </c>
      <c r="D12" s="49">
        <f t="shared" si="1"/>
        <v>0.35082999999999998</v>
      </c>
      <c r="E12" s="49">
        <v>13</v>
      </c>
      <c r="F12" s="19">
        <f t="shared" si="2"/>
        <v>2.2217381144325264E-3</v>
      </c>
      <c r="G12" s="12">
        <f t="shared" si="3"/>
        <v>6.9061023622047232E-2</v>
      </c>
      <c r="H12" s="49">
        <v>7205</v>
      </c>
      <c r="I12" s="53">
        <v>350.83</v>
      </c>
      <c r="L12" s="62" t="s">
        <v>90</v>
      </c>
      <c r="M12" s="69" t="s">
        <v>14</v>
      </c>
      <c r="N12" s="79">
        <v>275</v>
      </c>
      <c r="O12" s="80"/>
      <c r="P12" s="80"/>
      <c r="Q12" s="81"/>
      <c r="U12" s="201" t="s">
        <v>60</v>
      </c>
      <c r="V12" s="201"/>
      <c r="W12" s="125" t="s">
        <v>124</v>
      </c>
      <c r="X12" s="122">
        <f>SUM(AE9:AE38)</f>
        <v>36445</v>
      </c>
      <c r="Y12" s="84"/>
      <c r="AC12" s="153">
        <v>44275</v>
      </c>
      <c r="AD12" s="154">
        <v>12.407352249542431</v>
      </c>
      <c r="AE12" s="155">
        <v>625</v>
      </c>
      <c r="AF12" s="155">
        <v>0.20315753290000002</v>
      </c>
      <c r="AG12" s="155">
        <v>11.26825</v>
      </c>
      <c r="AH12" s="155">
        <v>32.184130585303791</v>
      </c>
      <c r="AI12" s="155">
        <v>1.6778020900000003E-2</v>
      </c>
      <c r="AJ12" s="91">
        <v>3.2382500000000003</v>
      </c>
    </row>
    <row r="13" spans="1:36" ht="30" x14ac:dyDescent="0.25">
      <c r="B13" s="52">
        <v>47480</v>
      </c>
      <c r="C13" s="49">
        <f t="shared" si="0"/>
        <v>0.1618</v>
      </c>
      <c r="D13" s="49">
        <f t="shared" si="1"/>
        <v>0.52093</v>
      </c>
      <c r="E13" s="49">
        <v>38</v>
      </c>
      <c r="F13" s="19">
        <f t="shared" si="2"/>
        <v>3.2989483110091385E-3</v>
      </c>
      <c r="G13" s="12">
        <f t="shared" si="3"/>
        <v>0.10254527559055118</v>
      </c>
      <c r="H13" s="49">
        <v>16180</v>
      </c>
      <c r="I13" s="53">
        <v>520.92999999999995</v>
      </c>
      <c r="L13" s="62" t="s">
        <v>91</v>
      </c>
      <c r="M13" s="71" t="s">
        <v>105</v>
      </c>
      <c r="N13" s="82">
        <v>157907.9</v>
      </c>
      <c r="O13" s="83" t="s">
        <v>92</v>
      </c>
      <c r="P13" s="83">
        <f>N13/1000</f>
        <v>157.90789999999998</v>
      </c>
      <c r="Q13" s="84" t="s">
        <v>93</v>
      </c>
      <c r="U13" s="201"/>
      <c r="V13" s="201"/>
      <c r="W13" s="125" t="s">
        <v>125</v>
      </c>
      <c r="X13" s="122">
        <f>SUM(AF9:AF38)</f>
        <v>14.6397842939</v>
      </c>
      <c r="Y13" s="84"/>
      <c r="AC13" s="153">
        <v>45028</v>
      </c>
      <c r="AD13" s="154">
        <v>7.7044949531616544E-2</v>
      </c>
      <c r="AE13" s="155">
        <v>361</v>
      </c>
      <c r="AF13" s="155">
        <v>0.15437826810000002</v>
      </c>
      <c r="AG13" s="155">
        <v>7.4652900000000004</v>
      </c>
      <c r="AH13" s="155">
        <v>24.849285002346033</v>
      </c>
      <c r="AI13" s="155">
        <v>8.8228448999999997E-3</v>
      </c>
      <c r="AJ13" s="91">
        <v>1.78467</v>
      </c>
    </row>
    <row r="14" spans="1:36" ht="30" x14ac:dyDescent="0.25">
      <c r="B14" s="52">
        <v>47510</v>
      </c>
      <c r="C14" s="49">
        <f t="shared" si="0"/>
        <v>0.20591999999999999</v>
      </c>
      <c r="D14" s="49">
        <f t="shared" si="1"/>
        <v>0.60333000000000003</v>
      </c>
      <c r="E14" s="49">
        <v>18</v>
      </c>
      <c r="F14" s="19">
        <f t="shared" si="2"/>
        <v>3.8207714750180324E-3</v>
      </c>
      <c r="G14" s="12">
        <f t="shared" si="3"/>
        <v>0.11876574803149607</v>
      </c>
      <c r="H14" s="49">
        <v>20592</v>
      </c>
      <c r="I14" s="53">
        <v>603.33000000000004</v>
      </c>
      <c r="L14" s="62" t="s">
        <v>94</v>
      </c>
      <c r="M14" s="71" t="s">
        <v>106</v>
      </c>
      <c r="N14" s="85">
        <f>N13/N12</f>
        <v>574.21054545454547</v>
      </c>
      <c r="O14" s="83" t="s">
        <v>92</v>
      </c>
      <c r="P14" s="83">
        <f>N14/1000</f>
        <v>0.57421054545454542</v>
      </c>
      <c r="Q14" s="84" t="s">
        <v>93</v>
      </c>
      <c r="U14" s="201"/>
      <c r="V14" s="201"/>
      <c r="W14" s="125" t="s">
        <v>126</v>
      </c>
      <c r="X14" s="122">
        <f>SUM(AG9:AG38)</f>
        <v>658.46393999999998</v>
      </c>
      <c r="Y14" s="84"/>
      <c r="AC14" s="153">
        <v>45754</v>
      </c>
      <c r="AD14" s="154">
        <v>130.18762061017998</v>
      </c>
      <c r="AE14" s="155">
        <v>1849</v>
      </c>
      <c r="AF14" s="155">
        <v>0.43950270250000006</v>
      </c>
      <c r="AG14" s="155">
        <v>28.50685</v>
      </c>
      <c r="AH14" s="155">
        <v>37.714120788058779</v>
      </c>
      <c r="AI14" s="155">
        <v>6.1023820899999998E-2</v>
      </c>
      <c r="AJ14" s="91">
        <v>10.62229</v>
      </c>
    </row>
    <row r="15" spans="1:36" ht="18" x14ac:dyDescent="0.25">
      <c r="B15" s="52">
        <v>47562</v>
      </c>
      <c r="C15" s="49">
        <f t="shared" si="0"/>
        <v>0.23654</v>
      </c>
      <c r="D15" s="49">
        <f t="shared" si="1"/>
        <v>0.62450000000000006</v>
      </c>
      <c r="E15" s="49">
        <v>23</v>
      </c>
      <c r="F15" s="19">
        <f t="shared" si="2"/>
        <v>3.9548369650916765E-3</v>
      </c>
      <c r="G15" s="12">
        <f t="shared" si="3"/>
        <v>0.12293307086614175</v>
      </c>
      <c r="H15" s="49">
        <v>23654</v>
      </c>
      <c r="I15" s="53">
        <v>624.5</v>
      </c>
      <c r="L15" s="62" t="s">
        <v>95</v>
      </c>
      <c r="M15" s="71" t="s">
        <v>107</v>
      </c>
      <c r="N15" s="82">
        <v>5079953</v>
      </c>
      <c r="O15" s="83" t="s">
        <v>92</v>
      </c>
      <c r="P15" s="83">
        <f>N15/1000000</f>
        <v>5.0799529999999997</v>
      </c>
      <c r="Q15" s="84" t="s">
        <v>96</v>
      </c>
      <c r="U15" s="201"/>
      <c r="V15" s="201"/>
      <c r="W15" s="125" t="s">
        <v>127</v>
      </c>
      <c r="X15" s="122">
        <f>(SUM(AD9:AD38))/(X8-1)</f>
        <v>239.08274771571627</v>
      </c>
      <c r="Y15" s="84"/>
      <c r="AC15" s="153">
        <v>47461</v>
      </c>
      <c r="AD15" s="154">
        <v>13.818241182205702</v>
      </c>
      <c r="AE15" s="155">
        <v>169</v>
      </c>
      <c r="AF15" s="155">
        <v>0.12308168889999999</v>
      </c>
      <c r="AG15" s="155">
        <v>4.5607899999999999</v>
      </c>
      <c r="AH15" s="155">
        <v>5.0605817949680825</v>
      </c>
      <c r="AI15" s="155">
        <v>5.1912025000000004E-3</v>
      </c>
      <c r="AJ15" s="91">
        <v>0.93664999999999998</v>
      </c>
    </row>
    <row r="16" spans="1:36" ht="30.75" thickBot="1" x14ac:dyDescent="0.3">
      <c r="B16" s="52">
        <v>47622</v>
      </c>
      <c r="C16" s="49">
        <f t="shared" si="0"/>
        <v>2.826E-2</v>
      </c>
      <c r="D16" s="49">
        <f t="shared" si="1"/>
        <v>0.28782000000000002</v>
      </c>
      <c r="E16" s="49">
        <v>4</v>
      </c>
      <c r="F16" s="19">
        <f t="shared" si="2"/>
        <v>1.8227080469058229E-3</v>
      </c>
      <c r="G16" s="12">
        <f t="shared" si="3"/>
        <v>5.665748031496063E-2</v>
      </c>
      <c r="H16" s="49">
        <v>2826</v>
      </c>
      <c r="I16" s="53">
        <v>287.82</v>
      </c>
      <c r="L16" s="62" t="s">
        <v>94</v>
      </c>
      <c r="M16" s="75" t="s">
        <v>108</v>
      </c>
      <c r="N16" s="86">
        <f>N15/N12</f>
        <v>18472.556363636362</v>
      </c>
      <c r="O16" s="87" t="s">
        <v>92</v>
      </c>
      <c r="P16" s="87">
        <f>N16/1000000</f>
        <v>1.8472556363636362E-2</v>
      </c>
      <c r="Q16" s="88" t="s">
        <v>96</v>
      </c>
      <c r="U16" s="201"/>
      <c r="V16" s="201"/>
      <c r="W16" s="126" t="s">
        <v>127</v>
      </c>
      <c r="X16" s="124">
        <f>((X12+((X11^2))*X13)-2*X11*X14)/(X8-1)</f>
        <v>239.08274771571601</v>
      </c>
      <c r="Y16" s="88"/>
      <c r="AC16" s="153">
        <v>47481</v>
      </c>
      <c r="AD16" s="154">
        <v>173.64200339191217</v>
      </c>
      <c r="AE16" s="155">
        <v>1444</v>
      </c>
      <c r="AF16" s="155">
        <v>0.27136806489999998</v>
      </c>
      <c r="AG16" s="155">
        <v>19.795339999999999</v>
      </c>
      <c r="AH16" s="155">
        <v>192.04882760129038</v>
      </c>
      <c r="AI16" s="155">
        <v>2.6179239999999999E-2</v>
      </c>
      <c r="AJ16" s="91">
        <v>6.1483999999999996</v>
      </c>
    </row>
    <row r="17" spans="2:36" ht="15.75" thickBot="1" x14ac:dyDescent="0.3">
      <c r="B17" s="52">
        <v>47659</v>
      </c>
      <c r="C17" s="49">
        <f t="shared" si="0"/>
        <v>0.11901</v>
      </c>
      <c r="D17" s="49">
        <f t="shared" si="1"/>
        <v>0.54579</v>
      </c>
      <c r="E17" s="49">
        <v>33</v>
      </c>
      <c r="F17" s="19">
        <f t="shared" si="2"/>
        <v>3.4563818529661909E-3</v>
      </c>
      <c r="G17" s="12">
        <f t="shared" si="3"/>
        <v>0.10743897637795276</v>
      </c>
      <c r="H17" s="49">
        <v>11901</v>
      </c>
      <c r="I17" s="53">
        <v>545.79</v>
      </c>
      <c r="U17" s="103"/>
      <c r="V17" s="103"/>
      <c r="Y17" s="83"/>
      <c r="AC17" s="153">
        <v>47597</v>
      </c>
      <c r="AD17" s="154">
        <v>115.54287612583386</v>
      </c>
      <c r="AE17" s="155">
        <v>324</v>
      </c>
      <c r="AF17" s="155">
        <v>0.36400708890000005</v>
      </c>
      <c r="AG17" s="155">
        <v>10.85994</v>
      </c>
      <c r="AH17" s="155">
        <v>161.92263508161491</v>
      </c>
      <c r="AI17" s="155">
        <v>4.2403046399999998E-2</v>
      </c>
      <c r="AJ17" s="91">
        <v>3.7065599999999996</v>
      </c>
    </row>
    <row r="18" spans="2:36" ht="33" customHeight="1" thickBot="1" x14ac:dyDescent="0.3">
      <c r="B18" s="52">
        <v>47661</v>
      </c>
      <c r="C18" s="49">
        <f t="shared" si="0"/>
        <v>0.25829000000000002</v>
      </c>
      <c r="D18" s="49">
        <f t="shared" si="1"/>
        <v>0.80159000000000002</v>
      </c>
      <c r="E18" s="49">
        <v>31</v>
      </c>
      <c r="F18" s="19">
        <f t="shared" si="2"/>
        <v>5.0763134713336065E-3</v>
      </c>
      <c r="G18" s="12">
        <f t="shared" si="3"/>
        <v>0.15779330708661418</v>
      </c>
      <c r="H18" s="49">
        <v>25829</v>
      </c>
      <c r="I18" s="53">
        <v>801.59</v>
      </c>
      <c r="L18" s="66" t="s">
        <v>104</v>
      </c>
      <c r="M18" s="5"/>
      <c r="N18" s="36"/>
      <c r="U18" s="199" t="s">
        <v>131</v>
      </c>
      <c r="V18" s="200"/>
      <c r="W18" s="107" t="s">
        <v>122</v>
      </c>
      <c r="X18" s="127">
        <f>X11</f>
        <v>47.650684074909201</v>
      </c>
      <c r="Y18" s="81" t="s">
        <v>123</v>
      </c>
      <c r="AC18" s="153">
        <v>47649</v>
      </c>
      <c r="AD18" s="154">
        <v>45.668566421660721</v>
      </c>
      <c r="AE18" s="155">
        <v>529</v>
      </c>
      <c r="AF18" s="155">
        <v>0.39000025000000005</v>
      </c>
      <c r="AG18" s="155">
        <v>14.363500000000002</v>
      </c>
      <c r="AH18" s="155">
        <v>151.13326945098655</v>
      </c>
      <c r="AI18" s="155">
        <v>5.5951171600000002E-2</v>
      </c>
      <c r="AJ18" s="91">
        <v>5.4404199999999996</v>
      </c>
    </row>
    <row r="19" spans="2:36" ht="33.75" customHeight="1" x14ac:dyDescent="0.25">
      <c r="B19" s="52">
        <v>47711</v>
      </c>
      <c r="C19" s="49">
        <f t="shared" si="0"/>
        <v>0.17266999999999999</v>
      </c>
      <c r="D19" s="49">
        <f t="shared" si="1"/>
        <v>0.54028999999999994</v>
      </c>
      <c r="E19" s="49">
        <v>25</v>
      </c>
      <c r="F19" s="19">
        <f t="shared" si="2"/>
        <v>3.4215514233296744E-3</v>
      </c>
      <c r="G19" s="12">
        <f t="shared" si="3"/>
        <v>0.10635629921259841</v>
      </c>
      <c r="H19" s="49">
        <v>17267</v>
      </c>
      <c r="I19" s="53">
        <v>540.29</v>
      </c>
      <c r="L19" s="68" t="s">
        <v>20</v>
      </c>
      <c r="M19" s="69" t="s">
        <v>21</v>
      </c>
      <c r="N19" s="70">
        <f>AVERAGE(E6:E35)</f>
        <v>30.1</v>
      </c>
      <c r="U19" s="199" t="s">
        <v>132</v>
      </c>
      <c r="V19" s="200"/>
      <c r="W19" s="121" t="s">
        <v>133</v>
      </c>
      <c r="X19" s="128">
        <f>1-(X8/N12)</f>
        <v>0.89090909090909087</v>
      </c>
      <c r="Y19" s="84"/>
      <c r="AC19" s="153">
        <v>47659</v>
      </c>
      <c r="AD19" s="154">
        <v>94.377725503695785</v>
      </c>
      <c r="AE19" s="155">
        <v>16</v>
      </c>
      <c r="AF19" s="155">
        <v>8.2840352400000011E-2</v>
      </c>
      <c r="AG19" s="155">
        <v>1.1512800000000001</v>
      </c>
      <c r="AH19" s="155">
        <v>4.6921677722473243E-2</v>
      </c>
      <c r="AI19" s="155">
        <v>7.9862759999999998E-4</v>
      </c>
      <c r="AJ19" s="91">
        <v>0.11304</v>
      </c>
    </row>
    <row r="20" spans="2:36" ht="23.25" customHeight="1" x14ac:dyDescent="0.25">
      <c r="B20" s="52">
        <v>47940</v>
      </c>
      <c r="C20" s="49">
        <f t="shared" si="0"/>
        <v>4.2290000000000001E-2</v>
      </c>
      <c r="D20" s="49">
        <f t="shared" si="1"/>
        <v>0.26036999999999999</v>
      </c>
      <c r="E20" s="49">
        <v>19</v>
      </c>
      <c r="F20" s="19">
        <f t="shared" si="2"/>
        <v>1.6488725389926658E-3</v>
      </c>
      <c r="G20" s="12">
        <f t="shared" si="3"/>
        <v>5.1253937007874013E-2</v>
      </c>
      <c r="H20" s="49">
        <v>4229</v>
      </c>
      <c r="I20" s="53">
        <v>260.37</v>
      </c>
      <c r="L20" s="68" t="s">
        <v>23</v>
      </c>
      <c r="M20" s="71" t="s">
        <v>24</v>
      </c>
      <c r="N20" s="72">
        <f>_xlfn.VAR.S(E6:E35)</f>
        <v>319.4724137931035</v>
      </c>
      <c r="U20" s="199" t="s">
        <v>134</v>
      </c>
      <c r="V20" s="200"/>
      <c r="W20" s="121" t="s">
        <v>135</v>
      </c>
      <c r="X20" s="85">
        <f>(1/P14)^2*(X16/N21)*X19</f>
        <v>21.533669640089791</v>
      </c>
      <c r="Y20" s="84" t="s">
        <v>138</v>
      </c>
      <c r="AC20" s="153">
        <v>47691</v>
      </c>
      <c r="AD20" s="154">
        <v>48.898316749846671</v>
      </c>
      <c r="AE20" s="155">
        <v>1089</v>
      </c>
      <c r="AF20" s="155">
        <v>0.2978867241</v>
      </c>
      <c r="AG20" s="155">
        <v>18.01107</v>
      </c>
      <c r="AH20" s="155">
        <v>232.3421162114324</v>
      </c>
      <c r="AI20" s="155">
        <v>1.4163380100000001E-2</v>
      </c>
      <c r="AJ20" s="91">
        <v>3.92733</v>
      </c>
    </row>
    <row r="21" spans="2:36" ht="29.25" customHeight="1" x14ac:dyDescent="0.25">
      <c r="B21" s="52">
        <v>47975</v>
      </c>
      <c r="C21" s="49">
        <f t="shared" si="0"/>
        <v>0.23089000000000001</v>
      </c>
      <c r="D21" s="49">
        <f t="shared" si="1"/>
        <v>0.61609000000000003</v>
      </c>
      <c r="E21" s="49">
        <v>23</v>
      </c>
      <c r="F21" s="19">
        <f t="shared" si="2"/>
        <v>3.9015780717747495E-3</v>
      </c>
      <c r="G21" s="12">
        <f t="shared" si="3"/>
        <v>0.12127755905511811</v>
      </c>
      <c r="H21" s="49">
        <v>23089</v>
      </c>
      <c r="I21" s="53">
        <v>616.09</v>
      </c>
      <c r="L21" s="68" t="s">
        <v>25</v>
      </c>
      <c r="M21" s="71" t="s">
        <v>26</v>
      </c>
      <c r="N21" s="73">
        <f>COUNT(E6:E35)</f>
        <v>30</v>
      </c>
      <c r="U21" s="197" t="s">
        <v>31</v>
      </c>
      <c r="V21" s="198"/>
      <c r="W21" s="121" t="s">
        <v>32</v>
      </c>
      <c r="X21" s="122">
        <v>2.0452296421327101</v>
      </c>
      <c r="Y21" s="84"/>
      <c r="AC21" s="153">
        <v>47724</v>
      </c>
      <c r="AD21" s="154">
        <v>51.786904208001197</v>
      </c>
      <c r="AE21" s="155">
        <v>961</v>
      </c>
      <c r="AF21" s="155">
        <v>0.64254652810000001</v>
      </c>
      <c r="AG21" s="155">
        <v>24.84929</v>
      </c>
      <c r="AH21" s="155">
        <v>56.834985196800631</v>
      </c>
      <c r="AI21" s="155">
        <v>6.671372410000001E-2</v>
      </c>
      <c r="AJ21" s="91">
        <v>8.0069900000000001</v>
      </c>
    </row>
    <row r="22" spans="2:36" ht="29.25" customHeight="1" x14ac:dyDescent="0.25">
      <c r="B22" s="52">
        <v>48025</v>
      </c>
      <c r="C22" s="49">
        <f t="shared" si="0"/>
        <v>0.33589999999999998</v>
      </c>
      <c r="D22" s="49">
        <f t="shared" si="1"/>
        <v>1.05074</v>
      </c>
      <c r="E22" s="49">
        <v>48</v>
      </c>
      <c r="F22" s="19">
        <f t="shared" si="2"/>
        <v>6.6541319338677797E-3</v>
      </c>
      <c r="G22" s="12">
        <f t="shared" si="3"/>
        <v>0.20683858267716534</v>
      </c>
      <c r="H22" s="49">
        <v>33590</v>
      </c>
      <c r="I22" s="53">
        <v>1050.74</v>
      </c>
      <c r="L22" s="68" t="s">
        <v>99</v>
      </c>
      <c r="M22" s="71" t="s">
        <v>100</v>
      </c>
      <c r="N22" s="74">
        <f>1-(N21/N12)</f>
        <v>0.89090909090909087</v>
      </c>
      <c r="U22" s="197" t="s">
        <v>33</v>
      </c>
      <c r="V22" s="198"/>
      <c r="W22" s="121" t="s">
        <v>101</v>
      </c>
      <c r="X22" s="85">
        <f>X21*SQRT(X20)</f>
        <v>9.4907624096736463</v>
      </c>
      <c r="Y22" s="84" t="s">
        <v>123</v>
      </c>
      <c r="AC22" s="153">
        <v>47725</v>
      </c>
      <c r="AD22" s="154">
        <v>0.55530530264187661</v>
      </c>
      <c r="AE22" s="155">
        <v>625</v>
      </c>
      <c r="AF22" s="155">
        <v>0.29191328409999995</v>
      </c>
      <c r="AG22" s="155">
        <v>13.507249999999999</v>
      </c>
      <c r="AH22" s="155">
        <v>0.58327003257474797</v>
      </c>
      <c r="AI22" s="155">
        <v>2.9814928899999996E-2</v>
      </c>
      <c r="AJ22" s="91">
        <v>4.3167499999999999</v>
      </c>
    </row>
    <row r="23" spans="2:36" ht="17.25" customHeight="1" thickBot="1" x14ac:dyDescent="0.3">
      <c r="B23" s="52">
        <v>48128</v>
      </c>
      <c r="C23" s="49">
        <f t="shared" si="0"/>
        <v>0.39634000000000003</v>
      </c>
      <c r="D23" s="49">
        <f t="shared" si="1"/>
        <v>1.37903</v>
      </c>
      <c r="E23" s="49">
        <v>45</v>
      </c>
      <c r="F23" s="19">
        <f t="shared" si="2"/>
        <v>8.7331286148444754E-3</v>
      </c>
      <c r="G23" s="12">
        <f t="shared" si="3"/>
        <v>0.27146259842519682</v>
      </c>
      <c r="H23" s="49">
        <v>39634</v>
      </c>
      <c r="I23" s="53">
        <v>1379.03</v>
      </c>
      <c r="L23" s="68" t="s">
        <v>29</v>
      </c>
      <c r="M23" s="71" t="s">
        <v>30</v>
      </c>
      <c r="N23" s="72">
        <f>(N20/N21)*N22</f>
        <v>9.4873625914315589</v>
      </c>
      <c r="U23" s="197" t="s">
        <v>102</v>
      </c>
      <c r="V23" s="198"/>
      <c r="W23" s="123" t="s">
        <v>137</v>
      </c>
      <c r="X23" s="129">
        <f>(X22/X18)*100</f>
        <v>19.917368646279463</v>
      </c>
      <c r="Y23" s="88" t="s">
        <v>35</v>
      </c>
      <c r="AC23" s="153">
        <v>47758</v>
      </c>
      <c r="AD23" s="154">
        <v>43.470172671095099</v>
      </c>
      <c r="AE23" s="155">
        <v>361</v>
      </c>
      <c r="AF23" s="155">
        <v>6.7792536899999992E-2</v>
      </c>
      <c r="AG23" s="155">
        <v>4.9470299999999998</v>
      </c>
      <c r="AH23" s="155">
        <v>161.03608993516167</v>
      </c>
      <c r="AI23" s="155">
        <v>1.7884441000000002E-3</v>
      </c>
      <c r="AJ23" s="91">
        <v>0.80351000000000006</v>
      </c>
    </row>
    <row r="24" spans="2:36" ht="15.75" thickBot="1" x14ac:dyDescent="0.3">
      <c r="B24" s="52">
        <v>48143</v>
      </c>
      <c r="C24" s="49">
        <f t="shared" si="0"/>
        <v>5.5590000000000001E-2</v>
      </c>
      <c r="D24" s="49">
        <f t="shared" si="1"/>
        <v>0.33417000000000002</v>
      </c>
      <c r="E24" s="49">
        <v>11</v>
      </c>
      <c r="F24" s="19">
        <f t="shared" si="2"/>
        <v>2.1162335766608258E-3</v>
      </c>
      <c r="G24" s="12">
        <f t="shared" si="3"/>
        <v>6.5781496062992134E-2</v>
      </c>
      <c r="H24" s="49">
        <v>5559</v>
      </c>
      <c r="I24" s="53">
        <v>334.17</v>
      </c>
      <c r="L24" s="68" t="s">
        <v>31</v>
      </c>
      <c r="M24" s="71" t="s">
        <v>32</v>
      </c>
      <c r="N24" s="72">
        <v>2.0452296421327101</v>
      </c>
      <c r="AC24" s="153">
        <v>47802</v>
      </c>
      <c r="AD24" s="154">
        <v>40.412846938140632</v>
      </c>
      <c r="AE24" s="155">
        <v>529</v>
      </c>
      <c r="AF24" s="155">
        <v>0.37956688810000005</v>
      </c>
      <c r="AG24" s="155">
        <v>14.170070000000001</v>
      </c>
      <c r="AH24" s="155">
        <v>131.11630402364548</v>
      </c>
      <c r="AI24" s="155">
        <v>5.3310192100000008E-2</v>
      </c>
      <c r="AJ24" s="91">
        <v>5.3104700000000005</v>
      </c>
    </row>
    <row r="25" spans="2:36" x14ac:dyDescent="0.25">
      <c r="B25" s="52">
        <v>48149</v>
      </c>
      <c r="C25" s="49">
        <f t="shared" si="0"/>
        <v>0.27246999999999999</v>
      </c>
      <c r="D25" s="49">
        <f t="shared" si="1"/>
        <v>0.67803999999999998</v>
      </c>
      <c r="E25" s="49">
        <v>44</v>
      </c>
      <c r="F25" s="19">
        <f t="shared" si="2"/>
        <v>4.2938953655896886E-3</v>
      </c>
      <c r="G25" s="12">
        <f t="shared" si="3"/>
        <v>0.13347244094488189</v>
      </c>
      <c r="H25" s="49">
        <v>27247</v>
      </c>
      <c r="I25" s="53">
        <v>678.04</v>
      </c>
      <c r="L25" s="68" t="s">
        <v>33</v>
      </c>
      <c r="M25" s="71" t="s">
        <v>101</v>
      </c>
      <c r="N25" s="72">
        <f>N24*(SQRT(N23))</f>
        <v>6.299626887150203</v>
      </c>
      <c r="U25" s="93" t="s">
        <v>37</v>
      </c>
      <c r="V25" s="130">
        <v>5</v>
      </c>
      <c r="X25" s="21" t="s">
        <v>39</v>
      </c>
      <c r="Y25" s="135" t="s">
        <v>40</v>
      </c>
      <c r="Z25" s="132" t="s">
        <v>41</v>
      </c>
      <c r="AC25" s="153">
        <v>47821</v>
      </c>
      <c r="AD25" s="154">
        <v>4.2786086204162235</v>
      </c>
      <c r="AE25" s="155">
        <v>2304</v>
      </c>
      <c r="AF25" s="155">
        <v>1.1040545476000001</v>
      </c>
      <c r="AG25" s="155">
        <v>50.435519999999997</v>
      </c>
      <c r="AH25" s="155">
        <v>4.4898226083824033</v>
      </c>
      <c r="AI25" s="155">
        <v>0.11282880999999999</v>
      </c>
      <c r="AJ25" s="91">
        <v>16.123199999999997</v>
      </c>
    </row>
    <row r="26" spans="2:36" ht="15.75" thickBot="1" x14ac:dyDescent="0.3">
      <c r="B26" s="52">
        <v>48211</v>
      </c>
      <c r="C26" s="49">
        <f t="shared" si="0"/>
        <v>0.1346</v>
      </c>
      <c r="D26" s="49">
        <f t="shared" si="1"/>
        <v>0.65036000000000005</v>
      </c>
      <c r="E26" s="49">
        <v>13</v>
      </c>
      <c r="F26" s="19">
        <f t="shared" si="2"/>
        <v>4.1186033124371866E-3</v>
      </c>
      <c r="G26" s="12">
        <f t="shared" si="3"/>
        <v>0.1280236220472441</v>
      </c>
      <c r="H26" s="49">
        <v>13460</v>
      </c>
      <c r="I26" s="53">
        <v>650.36</v>
      </c>
      <c r="L26" s="68" t="s">
        <v>102</v>
      </c>
      <c r="M26" s="75" t="s">
        <v>103</v>
      </c>
      <c r="N26" s="76">
        <f>(N25/N19)*100</f>
        <v>20.928992980565457</v>
      </c>
      <c r="U26" s="93" t="s">
        <v>117</v>
      </c>
      <c r="V26" s="131">
        <f>((SQRT(X16))/X18)*100</f>
        <v>32.449273614232595</v>
      </c>
      <c r="X26" s="2">
        <v>1</v>
      </c>
      <c r="Y26" s="136">
        <v>2.0452296421327101</v>
      </c>
      <c r="Z26" s="133">
        <f>_xlfn.CEILING.MATH(((Y26^2*$V$26^2*$N$12)/($V$25^2*$N$12)+(Y26^2*$V$26^2)))</f>
        <v>4581</v>
      </c>
      <c r="AC26" s="153">
        <v>47827</v>
      </c>
      <c r="AD26" s="154">
        <v>428.97546382207452</v>
      </c>
      <c r="AE26" s="155">
        <v>2025</v>
      </c>
      <c r="AF26" s="155">
        <v>1.9017237408999998</v>
      </c>
      <c r="AG26" s="155">
        <v>62.056350000000002</v>
      </c>
      <c r="AH26" s="155">
        <v>199.85599060371501</v>
      </c>
      <c r="AI26" s="155">
        <v>0.15708539560000001</v>
      </c>
      <c r="AJ26" s="91">
        <v>17.8353</v>
      </c>
    </row>
    <row r="27" spans="2:36" x14ac:dyDescent="0.25">
      <c r="B27" s="52">
        <v>48511</v>
      </c>
      <c r="C27" s="49">
        <f t="shared" si="0"/>
        <v>3.6209999999999999E-2</v>
      </c>
      <c r="D27" s="49">
        <f t="shared" si="1"/>
        <v>0.36832999999999999</v>
      </c>
      <c r="E27" s="49">
        <v>26</v>
      </c>
      <c r="F27" s="19">
        <f t="shared" si="2"/>
        <v>2.3325622087305318E-3</v>
      </c>
      <c r="G27" s="12">
        <f t="shared" si="3"/>
        <v>7.250590551181102E-2</v>
      </c>
      <c r="H27" s="49">
        <v>3621</v>
      </c>
      <c r="I27" s="53">
        <v>368.33</v>
      </c>
      <c r="L27" s="46"/>
      <c r="M27" s="46"/>
      <c r="N27" s="46"/>
      <c r="X27" s="2">
        <v>2</v>
      </c>
      <c r="Y27" s="136">
        <v>1.9804475986834</v>
      </c>
      <c r="Z27" s="133">
        <f>_xlfn.CEILING.MATH(((Y27^2*$V$26^2*$N$12)/($V$25^2*$N$12)+(Y27^2*$V$26^2)))</f>
        <v>4296</v>
      </c>
      <c r="AC27" s="153">
        <v>47880</v>
      </c>
      <c r="AD27" s="154">
        <v>24.240154076262485</v>
      </c>
      <c r="AE27" s="155">
        <v>121</v>
      </c>
      <c r="AF27" s="155">
        <v>0.11166958890000002</v>
      </c>
      <c r="AG27" s="155">
        <v>3.6758700000000002</v>
      </c>
      <c r="AH27" s="155">
        <v>7.3199199951175764</v>
      </c>
      <c r="AI27" s="155">
        <v>3.0902480999999999E-3</v>
      </c>
      <c r="AJ27" s="91">
        <v>0.61148999999999998</v>
      </c>
    </row>
    <row r="28" spans="2:36" ht="15.75" thickBot="1" x14ac:dyDescent="0.3">
      <c r="B28" s="52">
        <v>48523</v>
      </c>
      <c r="C28" s="49">
        <f t="shared" si="0"/>
        <v>0.46159</v>
      </c>
      <c r="D28" s="49">
        <f t="shared" si="1"/>
        <v>0.90234000000000003</v>
      </c>
      <c r="E28" s="49">
        <v>98</v>
      </c>
      <c r="F28" s="19">
        <f t="shared" si="2"/>
        <v>5.7143436142206945E-3</v>
      </c>
      <c r="G28" s="12">
        <f t="shared" si="3"/>
        <v>0.17762598425196852</v>
      </c>
      <c r="H28" s="49">
        <v>46159</v>
      </c>
      <c r="I28" s="53">
        <v>902.34</v>
      </c>
      <c r="L28" s="77" t="s">
        <v>109</v>
      </c>
      <c r="M28" s="78"/>
      <c r="N28" s="46"/>
      <c r="X28" s="2">
        <v>3</v>
      </c>
      <c r="Y28" s="136">
        <v>1.98118035941466</v>
      </c>
      <c r="Z28" s="133">
        <f>_xlfn.CEILING.MATH(((Y28^2*$V$26^2*$N$12)/($V$25^2*$N$12)+(Y28^2*$V$26^2)))</f>
        <v>4299</v>
      </c>
      <c r="AC28" s="153">
        <v>47949</v>
      </c>
      <c r="AD28" s="154">
        <v>136.67784823627537</v>
      </c>
      <c r="AE28" s="155">
        <v>1936</v>
      </c>
      <c r="AF28" s="155">
        <v>0.45973824159999999</v>
      </c>
      <c r="AG28" s="155">
        <v>29.833759999999998</v>
      </c>
      <c r="AH28" s="155">
        <v>11.191262274993067</v>
      </c>
      <c r="AI28" s="155">
        <v>7.4239900899999989E-2</v>
      </c>
      <c r="AJ28" s="91">
        <v>11.988679999999999</v>
      </c>
    </row>
    <row r="29" spans="2:36" ht="15.75" thickBot="1" x14ac:dyDescent="0.3">
      <c r="B29" s="52">
        <v>48524</v>
      </c>
      <c r="C29" s="49">
        <f t="shared" si="0"/>
        <v>0.18228</v>
      </c>
      <c r="D29" s="49">
        <f t="shared" si="1"/>
        <v>0.53460000000000008</v>
      </c>
      <c r="E29" s="49">
        <v>40</v>
      </c>
      <c r="F29" s="19">
        <f t="shared" si="2"/>
        <v>3.3855177606693524E-3</v>
      </c>
      <c r="G29" s="12">
        <f t="shared" si="3"/>
        <v>0.10523622047244095</v>
      </c>
      <c r="H29" s="49">
        <v>18228</v>
      </c>
      <c r="I29" s="53">
        <v>534.6</v>
      </c>
      <c r="L29" s="93" t="s">
        <v>21</v>
      </c>
      <c r="M29" s="69">
        <f>ROUNDUP(AVERAGE(F6:F35),3)</f>
        <v>5.0000000000000001E-3</v>
      </c>
      <c r="N29" s="90" t="s">
        <v>110</v>
      </c>
      <c r="V29" s="6"/>
      <c r="W29" s="60"/>
      <c r="X29" s="2">
        <v>4</v>
      </c>
      <c r="Y29" s="137">
        <v>1.98118035941466</v>
      </c>
      <c r="Z29" s="134">
        <f>_xlfn.CEILING.MATH(((Y29^2*$V$26^2*$N$12)/($V$25^2*$N$12)+(Y29^2*$V$26^2)))</f>
        <v>4299</v>
      </c>
      <c r="AC29" s="153">
        <v>47952</v>
      </c>
      <c r="AD29" s="154">
        <v>323.64365825036725</v>
      </c>
      <c r="AE29" s="155">
        <v>169</v>
      </c>
      <c r="AF29" s="155">
        <v>0.42296812960000008</v>
      </c>
      <c r="AG29" s="155">
        <v>8.4546799999999998</v>
      </c>
      <c r="AH29" s="155">
        <v>50.174243139750729</v>
      </c>
      <c r="AI29" s="155">
        <v>1.811716E-2</v>
      </c>
      <c r="AJ29" s="91">
        <v>1.7498</v>
      </c>
    </row>
    <row r="30" spans="2:36" ht="17.25" x14ac:dyDescent="0.25">
      <c r="B30" s="52">
        <v>50018</v>
      </c>
      <c r="C30" s="49">
        <f t="shared" si="0"/>
        <v>0.72804999999999997</v>
      </c>
      <c r="D30" s="49">
        <f t="shared" si="1"/>
        <v>1.20065</v>
      </c>
      <c r="E30" s="49">
        <v>37</v>
      </c>
      <c r="F30" s="19">
        <f t="shared" si="2"/>
        <v>7.6034827896514353E-3</v>
      </c>
      <c r="G30" s="12">
        <f t="shared" si="3"/>
        <v>0.2363484251968504</v>
      </c>
      <c r="H30" s="49">
        <v>72805</v>
      </c>
      <c r="I30" s="53">
        <v>1200.6500000000001</v>
      </c>
      <c r="L30" s="93" t="s">
        <v>24</v>
      </c>
      <c r="M30" s="98">
        <f>_xlfn.VAR.S(F6:F35)</f>
        <v>3.6912429838388524E-6</v>
      </c>
      <c r="N30" s="91" t="s">
        <v>111</v>
      </c>
      <c r="V30" s="6"/>
      <c r="W30" s="60"/>
      <c r="AC30" s="153">
        <v>47972</v>
      </c>
      <c r="AD30" s="154">
        <v>71.382619120309585</v>
      </c>
      <c r="AE30" s="155">
        <v>676</v>
      </c>
      <c r="AF30" s="155">
        <v>0.13566698889999998</v>
      </c>
      <c r="AG30" s="155">
        <v>9.5765799999999999</v>
      </c>
      <c r="AH30" s="155">
        <v>424.24396367654504</v>
      </c>
      <c r="AI30" s="155">
        <v>1.3111640999999999E-3</v>
      </c>
      <c r="AJ30" s="91">
        <v>0.94145999999999996</v>
      </c>
    </row>
    <row r="31" spans="2:36" ht="18" thickBot="1" x14ac:dyDescent="0.3">
      <c r="B31" s="52">
        <v>50061</v>
      </c>
      <c r="C31" s="49">
        <f t="shared" si="0"/>
        <v>0.35010999999999998</v>
      </c>
      <c r="D31" s="49">
        <f t="shared" si="1"/>
        <v>1.0775299999999999</v>
      </c>
      <c r="E31" s="49">
        <v>47</v>
      </c>
      <c r="F31" s="19">
        <f t="shared" si="2"/>
        <v>6.8237877902245538E-3</v>
      </c>
      <c r="G31" s="12">
        <f t="shared" si="3"/>
        <v>0.21211220472440942</v>
      </c>
      <c r="H31" s="49">
        <v>35011</v>
      </c>
      <c r="I31" s="53">
        <v>1077.53</v>
      </c>
      <c r="L31" s="93" t="s">
        <v>30</v>
      </c>
      <c r="M31" s="99">
        <f>(M30/N21)*N22</f>
        <v>1.096187310352144E-7</v>
      </c>
      <c r="N31" s="91" t="s">
        <v>111</v>
      </c>
      <c r="U31" s="63"/>
      <c r="V31" s="6"/>
      <c r="W31" s="60"/>
      <c r="AC31" s="153">
        <v>48054</v>
      </c>
      <c r="AD31" s="154">
        <v>3025.3169988074856</v>
      </c>
      <c r="AE31" s="155">
        <v>9604</v>
      </c>
      <c r="AF31" s="155">
        <v>0.81421747560000002</v>
      </c>
      <c r="AG31" s="155">
        <v>88.429320000000004</v>
      </c>
      <c r="AH31" s="155">
        <v>848.39051372489837</v>
      </c>
      <c r="AI31" s="155">
        <v>0.21306532810000001</v>
      </c>
      <c r="AJ31" s="91">
        <v>45.235819999999997</v>
      </c>
    </row>
    <row r="32" spans="2:36" x14ac:dyDescent="0.25">
      <c r="B32" s="52">
        <v>50372</v>
      </c>
      <c r="C32" s="49">
        <f t="shared" si="0"/>
        <v>2.554E-2</v>
      </c>
      <c r="D32" s="49">
        <f t="shared" si="1"/>
        <v>0.20909</v>
      </c>
      <c r="E32" s="49">
        <v>8</v>
      </c>
      <c r="F32" s="19">
        <f t="shared" si="2"/>
        <v>1.3241262786725678E-3</v>
      </c>
      <c r="G32" s="12">
        <f t="shared" si="3"/>
        <v>4.1159448818897638E-2</v>
      </c>
      <c r="H32" s="49">
        <v>2554</v>
      </c>
      <c r="I32" s="53">
        <v>209.09</v>
      </c>
      <c r="L32" s="93" t="s">
        <v>101</v>
      </c>
      <c r="M32" s="94">
        <f>J34*(SQRT(M31))</f>
        <v>0</v>
      </c>
      <c r="N32" s="91" t="s">
        <v>110</v>
      </c>
      <c r="U32" s="195" t="s">
        <v>49</v>
      </c>
      <c r="V32" s="196"/>
      <c r="W32" s="112" t="s">
        <v>26</v>
      </c>
      <c r="X32" s="113">
        <v>30</v>
      </c>
      <c r="Y32" s="81"/>
      <c r="AC32" s="153">
        <v>48506</v>
      </c>
      <c r="AD32" s="154">
        <v>211.00305761942053</v>
      </c>
      <c r="AE32" s="155">
        <v>1600</v>
      </c>
      <c r="AF32" s="155">
        <v>0.28579716000000011</v>
      </c>
      <c r="AG32" s="155">
        <v>21.384000000000004</v>
      </c>
      <c r="AH32" s="155">
        <v>163.9012227785328</v>
      </c>
      <c r="AI32" s="155">
        <v>3.3225998399999998E-2</v>
      </c>
      <c r="AJ32" s="91">
        <v>7.2911999999999999</v>
      </c>
    </row>
    <row r="33" spans="2:38" ht="15.75" thickBot="1" x14ac:dyDescent="0.3">
      <c r="B33" s="52">
        <v>52782</v>
      </c>
      <c r="C33" s="49">
        <f t="shared" si="0"/>
        <v>0.25767000000000001</v>
      </c>
      <c r="D33" s="49">
        <f t="shared" si="1"/>
        <v>0.91388000000000003</v>
      </c>
      <c r="E33" s="49">
        <v>30</v>
      </c>
      <c r="F33" s="19">
        <f t="shared" si="2"/>
        <v>5.7874241884034935E-3</v>
      </c>
      <c r="G33" s="12">
        <f t="shared" si="3"/>
        <v>0.17989763779527559</v>
      </c>
      <c r="H33" s="49">
        <v>25767</v>
      </c>
      <c r="I33" s="53">
        <v>913.88</v>
      </c>
      <c r="L33" s="93" t="s">
        <v>103</v>
      </c>
      <c r="M33" s="100">
        <f>(M32/M29)*100</f>
        <v>0</v>
      </c>
      <c r="N33" s="92" t="s">
        <v>35</v>
      </c>
      <c r="U33" s="195" t="s">
        <v>51</v>
      </c>
      <c r="V33" s="196"/>
      <c r="W33" s="114" t="s">
        <v>120</v>
      </c>
      <c r="X33" s="115">
        <f>X9</f>
        <v>30.1</v>
      </c>
      <c r="Y33" s="84" t="s">
        <v>121</v>
      </c>
      <c r="AC33" s="153">
        <v>48639</v>
      </c>
      <c r="AD33" s="154">
        <v>408.5166100099384</v>
      </c>
      <c r="AE33" s="155">
        <v>1369</v>
      </c>
      <c r="AF33" s="155">
        <v>1.4415604225</v>
      </c>
      <c r="AG33" s="155">
        <v>44.424050000000001</v>
      </c>
      <c r="AH33" s="155">
        <v>5130.9689907039929</v>
      </c>
      <c r="AI33" s="155">
        <v>0.53005680249999998</v>
      </c>
      <c r="AJ33" s="91">
        <v>26.937849999999997</v>
      </c>
    </row>
    <row r="34" spans="2:38" x14ac:dyDescent="0.25">
      <c r="B34" s="52">
        <v>58477</v>
      </c>
      <c r="C34" s="49">
        <f t="shared" si="0"/>
        <v>0.14366999999999999</v>
      </c>
      <c r="D34" s="49">
        <f t="shared" si="1"/>
        <v>0.47760000000000002</v>
      </c>
      <c r="E34" s="49">
        <v>47</v>
      </c>
      <c r="F34" s="19">
        <f t="shared" si="2"/>
        <v>3.0245478535272773E-3</v>
      </c>
      <c r="G34" s="12">
        <f t="shared" si="3"/>
        <v>9.4015748031496066E-2</v>
      </c>
      <c r="H34" s="49">
        <v>14367</v>
      </c>
      <c r="I34" s="53">
        <v>477.6</v>
      </c>
      <c r="L34" s="67"/>
      <c r="M34" s="65"/>
      <c r="U34" s="195"/>
      <c r="V34" s="196"/>
      <c r="W34" s="114" t="s">
        <v>97</v>
      </c>
      <c r="X34" s="115">
        <f>AVERAGE(C6:C35)</f>
        <v>0.20173199999999999</v>
      </c>
      <c r="Y34" s="84" t="s">
        <v>96</v>
      </c>
      <c r="AC34" s="153">
        <v>50423</v>
      </c>
      <c r="AD34" s="154">
        <v>18.87938660338023</v>
      </c>
      <c r="AE34" s="155">
        <v>2209</v>
      </c>
      <c r="AF34" s="155">
        <v>1.1610709008999998</v>
      </c>
      <c r="AG34" s="155">
        <v>50.643909999999991</v>
      </c>
      <c r="AH34" s="155">
        <v>27.448837754264446</v>
      </c>
      <c r="AI34" s="155">
        <v>0.12257701209999998</v>
      </c>
      <c r="AJ34" s="91">
        <v>16.455169999999999</v>
      </c>
    </row>
    <row r="35" spans="2:38" ht="15.75" thickBot="1" x14ac:dyDescent="0.3">
      <c r="B35" s="54">
        <v>59564</v>
      </c>
      <c r="C35" s="57">
        <f t="shared" si="0"/>
        <v>0.10163999999999999</v>
      </c>
      <c r="D35" s="57">
        <f t="shared" si="1"/>
        <v>0.50229999999999997</v>
      </c>
      <c r="E35" s="57">
        <v>24</v>
      </c>
      <c r="F35" s="20">
        <f>D35/$M$8</f>
        <v>3.1809681466221764E-3</v>
      </c>
      <c r="G35" s="16">
        <f t="shared" si="3"/>
        <v>9.887795275590551E-2</v>
      </c>
      <c r="H35" s="57">
        <v>10164</v>
      </c>
      <c r="I35" s="55">
        <v>502.3</v>
      </c>
      <c r="L35" s="66" t="s">
        <v>112</v>
      </c>
      <c r="M35" s="61"/>
      <c r="N35" s="61"/>
      <c r="U35" s="195" t="s">
        <v>46</v>
      </c>
      <c r="V35" s="196"/>
      <c r="W35" s="114" t="s">
        <v>122</v>
      </c>
      <c r="X35" s="116">
        <f>X33/X34</f>
        <v>149.2078599329804</v>
      </c>
      <c r="Y35" s="84" t="s">
        <v>141</v>
      </c>
      <c r="AC35" s="153">
        <v>50923</v>
      </c>
      <c r="AD35" s="154">
        <v>3.8544743786935269</v>
      </c>
      <c r="AE35" s="155">
        <v>64</v>
      </c>
      <c r="AF35" s="155">
        <v>4.3718628099999997E-2</v>
      </c>
      <c r="AG35" s="155">
        <v>1.67272</v>
      </c>
      <c r="AH35" s="155">
        <v>17.549658527237206</v>
      </c>
      <c r="AI35" s="155">
        <v>6.5229160000000003E-4</v>
      </c>
      <c r="AJ35" s="91">
        <v>0.20432</v>
      </c>
    </row>
    <row r="36" spans="2:38" x14ac:dyDescent="0.25">
      <c r="L36" s="93" t="s">
        <v>21</v>
      </c>
      <c r="M36" s="102">
        <f>AVERAGE(G6:G35)</f>
        <v>0.12434652230971129</v>
      </c>
      <c r="N36" s="81" t="s">
        <v>113</v>
      </c>
      <c r="U36" s="195" t="s">
        <v>60</v>
      </c>
      <c r="V36" s="196"/>
      <c r="W36" s="114" t="s">
        <v>124</v>
      </c>
      <c r="X36" s="115">
        <f>X12</f>
        <v>36445</v>
      </c>
      <c r="Y36" s="84"/>
      <c r="AC36" s="153">
        <v>53375</v>
      </c>
      <c r="AD36" s="154">
        <v>183.52140305752144</v>
      </c>
      <c r="AE36" s="155">
        <v>900</v>
      </c>
      <c r="AF36" s="155">
        <v>0.8351766544</v>
      </c>
      <c r="AG36" s="155">
        <v>27.416399999999999</v>
      </c>
      <c r="AH36" s="155">
        <v>71.34149168231383</v>
      </c>
      <c r="AI36" s="155">
        <v>6.6393828900000007E-2</v>
      </c>
      <c r="AJ36" s="91">
        <v>7.7301000000000002</v>
      </c>
    </row>
    <row r="37" spans="2:38" ht="17.25" x14ac:dyDescent="0.25">
      <c r="L37" s="93" t="s">
        <v>24</v>
      </c>
      <c r="M37" s="96">
        <f>_xlfn.VAR.S(G6:G35)</f>
        <v>3.5665878502962457E-3</v>
      </c>
      <c r="N37" s="84" t="s">
        <v>115</v>
      </c>
      <c r="U37" s="195"/>
      <c r="V37" s="196"/>
      <c r="W37" s="114" t="s">
        <v>125</v>
      </c>
      <c r="X37" s="115">
        <f>SUM(AI9:AI38)</f>
        <v>1.9015059701999999</v>
      </c>
      <c r="Y37" s="84"/>
      <c r="AC37" s="153">
        <v>55238</v>
      </c>
      <c r="AD37" s="154">
        <v>587.67617783096796</v>
      </c>
      <c r="AE37" s="155">
        <v>2209</v>
      </c>
      <c r="AF37" s="155">
        <v>0.22810176000000001</v>
      </c>
      <c r="AG37" s="155">
        <v>22.447200000000002</v>
      </c>
      <c r="AH37" s="155">
        <v>653.48265268115983</v>
      </c>
      <c r="AI37" s="155">
        <v>2.0641068899999997E-2</v>
      </c>
      <c r="AJ37" s="91">
        <v>6.7524899999999999</v>
      </c>
    </row>
    <row r="38" spans="2:38" ht="18" thickBot="1" x14ac:dyDescent="0.3">
      <c r="L38" s="93" t="s">
        <v>30</v>
      </c>
      <c r="M38" s="97">
        <f>(M37/N21)*N22</f>
        <v>1.059168513118279E-4</v>
      </c>
      <c r="N38" s="84" t="s">
        <v>115</v>
      </c>
      <c r="U38" s="195"/>
      <c r="V38" s="196"/>
      <c r="W38" s="114" t="s">
        <v>126</v>
      </c>
      <c r="X38" s="115">
        <f>SUM(AJ9:AJ38)</f>
        <v>231.85847999999999</v>
      </c>
      <c r="Y38" s="84"/>
      <c r="AC38" s="156">
        <v>59547</v>
      </c>
      <c r="AD38" s="157">
        <v>4.2329843611348455E-3</v>
      </c>
      <c r="AE38" s="157">
        <v>576</v>
      </c>
      <c r="AF38" s="157">
        <v>0.25230528999999996</v>
      </c>
      <c r="AG38" s="157">
        <v>12.055199999999999</v>
      </c>
      <c r="AH38" s="157">
        <v>78.048622004053428</v>
      </c>
      <c r="AI38" s="157">
        <v>1.0330689599999998E-2</v>
      </c>
      <c r="AJ38" s="92">
        <v>2.4393599999999998</v>
      </c>
    </row>
    <row r="39" spans="2:38" x14ac:dyDescent="0.25">
      <c r="L39" s="93" t="s">
        <v>101</v>
      </c>
      <c r="M39" s="94">
        <f>E41*(SQRT(M38))</f>
        <v>0</v>
      </c>
      <c r="N39" s="84" t="s">
        <v>114</v>
      </c>
      <c r="U39" s="195"/>
      <c r="V39" s="196"/>
      <c r="W39" s="114" t="s">
        <v>127</v>
      </c>
      <c r="X39" s="115">
        <f>(SUM(AH9:AH38))/(X32-1)</f>
        <v>330.62015729064916</v>
      </c>
      <c r="Y39" s="84"/>
    </row>
    <row r="40" spans="2:38" ht="15.75" thickBot="1" x14ac:dyDescent="0.3">
      <c r="L40" s="93" t="s">
        <v>103</v>
      </c>
      <c r="M40" s="100">
        <f>(M39/M36)*100</f>
        <v>0</v>
      </c>
      <c r="N40" s="88" t="s">
        <v>35</v>
      </c>
      <c r="U40" s="195"/>
      <c r="V40" s="196"/>
      <c r="W40" s="117" t="s">
        <v>127</v>
      </c>
      <c r="X40" s="118">
        <f>((X36+((X35^2))*X37)-2*X35*X38)/(X32-1)</f>
        <v>330.62015729064899</v>
      </c>
      <c r="Y40" s="88"/>
      <c r="AC40" s="19"/>
      <c r="AD40" s="19"/>
      <c r="AE40" s="19"/>
      <c r="AF40" s="19"/>
      <c r="AG40" s="19"/>
    </row>
    <row r="41" spans="2:38" ht="15.75" thickBot="1" x14ac:dyDescent="0.3">
      <c r="L41" s="66"/>
      <c r="M41" s="95"/>
      <c r="N41" s="61"/>
      <c r="AD41" s="178" t="s">
        <v>65</v>
      </c>
      <c r="AE41" s="178"/>
      <c r="AF41" s="178"/>
      <c r="AG41" s="178"/>
      <c r="AH41" s="178"/>
      <c r="AI41" s="178"/>
    </row>
    <row r="42" spans="2:38" ht="30.75" customHeight="1" thickBot="1" x14ac:dyDescent="0.3">
      <c r="L42" s="66" t="s">
        <v>116</v>
      </c>
      <c r="M42" s="101"/>
      <c r="N42" s="61"/>
      <c r="O42" s="61"/>
      <c r="U42" s="191" t="s">
        <v>131</v>
      </c>
      <c r="V42" s="192"/>
      <c r="W42" s="112" t="s">
        <v>122</v>
      </c>
      <c r="X42" s="141">
        <f>X35</f>
        <v>149.2078599329804</v>
      </c>
      <c r="Y42" s="81" t="s">
        <v>123</v>
      </c>
      <c r="AD42" s="179" t="s">
        <v>66</v>
      </c>
      <c r="AE42" s="179"/>
      <c r="AF42" s="179"/>
      <c r="AG42" s="180" t="s">
        <v>67</v>
      </c>
      <c r="AH42" s="180"/>
      <c r="AI42" s="180"/>
      <c r="AJ42" s="5"/>
      <c r="AK42">
        <f>ROUNDUP((X20/N20)*100,0)</f>
        <v>7</v>
      </c>
      <c r="AL42" t="s">
        <v>35</v>
      </c>
    </row>
    <row r="43" spans="2:38" ht="30" customHeight="1" x14ac:dyDescent="0.25">
      <c r="L43" s="93" t="s">
        <v>37</v>
      </c>
      <c r="M43" s="104">
        <v>5</v>
      </c>
      <c r="N43" s="103"/>
      <c r="U43" s="191" t="s">
        <v>132</v>
      </c>
      <c r="V43" s="192"/>
      <c r="W43" s="114" t="s">
        <v>133</v>
      </c>
      <c r="X43" s="142">
        <f>1-(X32/N12)</f>
        <v>0.89090909090909087</v>
      </c>
      <c r="Y43" s="84"/>
      <c r="AD43" s="179" t="s">
        <v>68</v>
      </c>
      <c r="AE43" s="179"/>
      <c r="AF43" s="179"/>
      <c r="AG43" s="179"/>
      <c r="AH43" s="180" t="s">
        <v>69</v>
      </c>
      <c r="AI43" s="180"/>
      <c r="AJ43" s="5"/>
      <c r="AK43">
        <f>ROUNDUP((Z29/N50)*100,0)</f>
        <v>31</v>
      </c>
      <c r="AL43" t="s">
        <v>35</v>
      </c>
    </row>
    <row r="44" spans="2:38" ht="15.75" thickBot="1" x14ac:dyDescent="0.3">
      <c r="L44" s="93" t="s">
        <v>117</v>
      </c>
      <c r="M44" s="105">
        <f>(SQRT(N20)/N19)*100</f>
        <v>59.381366292501603</v>
      </c>
      <c r="N44" s="103"/>
      <c r="U44" s="191" t="s">
        <v>134</v>
      </c>
      <c r="V44" s="192"/>
      <c r="W44" s="114" t="s">
        <v>135</v>
      </c>
      <c r="X44" s="143">
        <f>((1/P16)^2*(X39/X32)*X43)/10000</f>
        <v>2.8773153543615919</v>
      </c>
      <c r="Y44" s="84" t="s">
        <v>136</v>
      </c>
    </row>
    <row r="45" spans="2:38" ht="15.75" thickBot="1" x14ac:dyDescent="0.3">
      <c r="L45" s="103"/>
      <c r="M45" s="103"/>
      <c r="N45" s="103"/>
      <c r="U45" s="163" t="s">
        <v>31</v>
      </c>
      <c r="V45" s="193"/>
      <c r="W45" s="114" t="s">
        <v>32</v>
      </c>
      <c r="X45" s="115">
        <v>2.0452296421327101</v>
      </c>
      <c r="Y45" s="84"/>
      <c r="AD45" s="179" t="s">
        <v>66</v>
      </c>
      <c r="AE45" s="179"/>
      <c r="AF45" s="179"/>
      <c r="AG45" s="180" t="s">
        <v>67</v>
      </c>
      <c r="AH45" s="180"/>
      <c r="AI45" s="180"/>
      <c r="AJ45" s="5"/>
      <c r="AK45">
        <f>ROUNDUP((X44/N20)*100,0)</f>
        <v>1</v>
      </c>
      <c r="AL45" t="s">
        <v>35</v>
      </c>
    </row>
    <row r="46" spans="2:38" x14ac:dyDescent="0.25">
      <c r="L46" s="93" t="s">
        <v>39</v>
      </c>
      <c r="M46" s="107" t="s">
        <v>40</v>
      </c>
      <c r="N46" s="108" t="s">
        <v>41</v>
      </c>
      <c r="U46" s="163" t="s">
        <v>33</v>
      </c>
      <c r="V46" s="193"/>
      <c r="W46" s="114" t="s">
        <v>101</v>
      </c>
      <c r="X46" s="143">
        <f>X45*SQRT(X44)</f>
        <v>3.4692517025510918</v>
      </c>
      <c r="Y46" s="84" t="s">
        <v>123</v>
      </c>
      <c r="AD46" s="179" t="s">
        <v>68</v>
      </c>
      <c r="AE46" s="179"/>
      <c r="AF46" s="179"/>
      <c r="AG46" s="179"/>
      <c r="AH46" s="180" t="s">
        <v>69</v>
      </c>
      <c r="AI46" s="180"/>
      <c r="AJ46" s="5"/>
      <c r="AK46">
        <f>ROUNDUP((Z53/N50)*100,0)</f>
        <v>5</v>
      </c>
      <c r="AL46" t="s">
        <v>35</v>
      </c>
    </row>
    <row r="47" spans="2:38" ht="15.75" thickBot="1" x14ac:dyDescent="0.3">
      <c r="L47" s="106">
        <v>1</v>
      </c>
      <c r="M47" s="96">
        <v>2.0452296421327101</v>
      </c>
      <c r="N47" s="84">
        <f>_xlfn.CEILING.MATH(((M47^2*$M$44^2*$N$12)/($M$43^2*$N$12)+(M47^2*$M$44^2)))</f>
        <v>15340</v>
      </c>
      <c r="U47" s="164" t="s">
        <v>102</v>
      </c>
      <c r="V47" s="194"/>
      <c r="W47" s="117" t="s">
        <v>137</v>
      </c>
      <c r="X47" s="144">
        <f>(X46/X42)*100</f>
        <v>2.325113237405438</v>
      </c>
      <c r="Y47" s="88" t="s">
        <v>35</v>
      </c>
    </row>
    <row r="48" spans="2:38" ht="15.75" thickBot="1" x14ac:dyDescent="0.3">
      <c r="L48" s="106">
        <v>2</v>
      </c>
      <c r="M48" s="96">
        <v>1.9602057123877001</v>
      </c>
      <c r="N48" s="84">
        <f>_xlfn.CEILING.MATH(((M48^2*$M$44^2*$N$12)/($M$43^2*$N$12)+(M48^2*$M$44^2)))</f>
        <v>14091</v>
      </c>
      <c r="U48" s="140"/>
      <c r="V48" s="140"/>
    </row>
    <row r="49" spans="12:34" x14ac:dyDescent="0.25">
      <c r="L49" s="106">
        <v>3</v>
      </c>
      <c r="M49" s="96">
        <v>1.96022713719324</v>
      </c>
      <c r="N49" s="109">
        <f>_xlfn.CEILING.MATH(((M49^2*$M$44^2*$N$12)/($M$43^2*$N$12)+(M49^2*$M$44^2)))</f>
        <v>14092</v>
      </c>
      <c r="U49" s="93" t="s">
        <v>37</v>
      </c>
      <c r="V49" s="104">
        <v>5</v>
      </c>
      <c r="X49" s="93" t="s">
        <v>39</v>
      </c>
      <c r="Y49" s="112" t="s">
        <v>40</v>
      </c>
      <c r="Z49" s="146" t="s">
        <v>41</v>
      </c>
    </row>
    <row r="50" spans="12:34" ht="15.75" thickBot="1" x14ac:dyDescent="0.3">
      <c r="L50" s="106">
        <v>4</v>
      </c>
      <c r="M50" s="110">
        <v>1.96022713719324</v>
      </c>
      <c r="N50" s="111">
        <f>_xlfn.CEILING.MATH(((M50^2*$M$44^2*$N$12)/($M$43^2*$N$12)+(M50^2*$M$44^2)))</f>
        <v>14092</v>
      </c>
      <c r="U50" s="93" t="s">
        <v>117</v>
      </c>
      <c r="V50" s="105">
        <f>((SQRT(X39))/X42)*100</f>
        <v>12.186330792830541</v>
      </c>
      <c r="X50" s="145">
        <v>1</v>
      </c>
      <c r="Y50" s="96">
        <v>2.0452296421327101</v>
      </c>
      <c r="Z50" s="147">
        <f>_xlfn.CEILING.MATH(((Y50^2*$V$50^2*$N$12)/($V$49^2*$N$12)+(Y50^2*$V$50^2)))</f>
        <v>647</v>
      </c>
    </row>
    <row r="51" spans="12:34" x14ac:dyDescent="0.25">
      <c r="U51" s="5"/>
      <c r="X51" s="145">
        <v>2</v>
      </c>
      <c r="Y51" s="96">
        <v>1.9804475986834</v>
      </c>
      <c r="Z51" s="147">
        <f>_xlfn.CEILING.MATH(((Y51^2*$V$50^2*$N$12)/($V$49^2*$N$12)+(Y51^2*$V$50^2)))</f>
        <v>606</v>
      </c>
    </row>
    <row r="52" spans="12:34" x14ac:dyDescent="0.25">
      <c r="X52" s="145">
        <v>3</v>
      </c>
      <c r="Y52" s="96">
        <v>1.98118035941466</v>
      </c>
      <c r="Z52" s="147">
        <f>_xlfn.CEILING.MATH(((Y52^2*$V$50^2*$N$12)/($V$49^2*$N$12)+(Y52^2*$V$50^2)))</f>
        <v>607</v>
      </c>
    </row>
    <row r="53" spans="12:34" ht="15.75" thickBot="1" x14ac:dyDescent="0.3">
      <c r="X53" s="145">
        <v>4</v>
      </c>
      <c r="Y53" s="110">
        <v>1.98118035941466</v>
      </c>
      <c r="Z53" s="148">
        <f>_xlfn.CEILING.MATH(((Y53^2*$V$50^2*$N$12)/($V$49^2*$N$12)+(Y53^2*$V$50^2)))</f>
        <v>607</v>
      </c>
      <c r="AD53" s="149"/>
      <c r="AG53" s="6"/>
      <c r="AH53" s="89"/>
    </row>
    <row r="54" spans="12:34" x14ac:dyDescent="0.25">
      <c r="AD54" s="149"/>
      <c r="AG54" s="6"/>
      <c r="AH54" s="89"/>
    </row>
  </sheetData>
  <mergeCells count="32">
    <mergeCell ref="U32:V32"/>
    <mergeCell ref="U12:V16"/>
    <mergeCell ref="U21:V21"/>
    <mergeCell ref="A1:M1"/>
    <mergeCell ref="U11:V11"/>
    <mergeCell ref="U9:V10"/>
    <mergeCell ref="U8:V8"/>
    <mergeCell ref="A2:O2"/>
    <mergeCell ref="A3:M3"/>
    <mergeCell ref="U22:V22"/>
    <mergeCell ref="U23:V23"/>
    <mergeCell ref="U18:V18"/>
    <mergeCell ref="U19:V19"/>
    <mergeCell ref="U20:V20"/>
    <mergeCell ref="U33:V34"/>
    <mergeCell ref="U35:V35"/>
    <mergeCell ref="U36:V40"/>
    <mergeCell ref="U42:V42"/>
    <mergeCell ref="U43:V43"/>
    <mergeCell ref="U47:V47"/>
    <mergeCell ref="AD41:AI41"/>
    <mergeCell ref="AD42:AF42"/>
    <mergeCell ref="AG42:AI42"/>
    <mergeCell ref="AD43:AG43"/>
    <mergeCell ref="AH43:AI43"/>
    <mergeCell ref="AD45:AF45"/>
    <mergeCell ref="AG45:AI45"/>
    <mergeCell ref="AD46:AG46"/>
    <mergeCell ref="AH46:AI46"/>
    <mergeCell ref="U44:V44"/>
    <mergeCell ref="U45:V45"/>
    <mergeCell ref="U46:V4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Exercício 1</vt:lpstr>
      <vt:lpstr>Exercício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Anahy Gran</dc:creator>
  <cp:lastModifiedBy>Anahy Gran</cp:lastModifiedBy>
  <dcterms:created xsi:type="dcterms:W3CDTF">2021-11-29T14:18:32Z</dcterms:created>
  <dcterms:modified xsi:type="dcterms:W3CDTF">2021-12-01T12:51:00Z</dcterms:modified>
</cp:coreProperties>
</file>