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ão Pedro V. Pereir\Downloads\"/>
    </mc:Choice>
  </mc:AlternateContent>
  <xr:revisionPtr revIDLastSave="0" documentId="8_{05C1BBBA-AEC2-43E0-80A2-518F4B7F96C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Exercício 1 - Levantamento em F" sheetId="1" r:id="rId1"/>
    <sheet name="Exercício 2 - Inventário Urb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45" i="2" l="1"/>
  <c r="C45" i="2"/>
  <c r="C48" i="2"/>
  <c r="D42" i="2"/>
  <c r="D48" i="2" s="1"/>
  <c r="D41" i="2"/>
  <c r="D46" i="2"/>
  <c r="E65" i="2" s="1"/>
  <c r="D47" i="2"/>
  <c r="L27" i="1"/>
  <c r="C47" i="2"/>
  <c r="C46" i="2"/>
  <c r="E43" i="1"/>
  <c r="E41" i="1"/>
  <c r="E40" i="1"/>
  <c r="D41" i="1" s="1"/>
  <c r="H40" i="1"/>
  <c r="E27" i="1"/>
  <c r="E28" i="1"/>
  <c r="E29" i="1"/>
  <c r="E32" i="1" s="1"/>
  <c r="E36" i="1"/>
  <c r="D40" i="1"/>
  <c r="I51" i="1"/>
  <c r="H52" i="1" s="1"/>
  <c r="I52" i="1" s="1"/>
  <c r="H53" i="1" s="1"/>
  <c r="I53" i="1" s="1"/>
  <c r="D50" i="2" l="1"/>
  <c r="J66" i="2" s="1"/>
  <c r="J65" i="2"/>
  <c r="J53" i="2"/>
  <c r="J61" i="2"/>
  <c r="J69" i="2"/>
  <c r="J47" i="2"/>
  <c r="J55" i="2"/>
  <c r="J46" i="2"/>
  <c r="J75" i="2"/>
  <c r="J51" i="2"/>
  <c r="J59" i="2"/>
  <c r="D70" i="2"/>
  <c r="J73" i="2"/>
  <c r="J49" i="2"/>
  <c r="J57" i="2"/>
  <c r="D56" i="2"/>
  <c r="J62" i="2"/>
  <c r="J58" i="2"/>
  <c r="J54" i="2"/>
  <c r="J50" i="2"/>
  <c r="J72" i="2"/>
  <c r="J68" i="2"/>
  <c r="J64" i="2"/>
  <c r="J71" i="2"/>
  <c r="J67" i="2"/>
  <c r="J63" i="2"/>
  <c r="J60" i="2"/>
  <c r="J56" i="2"/>
  <c r="J52" i="2"/>
  <c r="J48" i="2"/>
  <c r="J74" i="2"/>
  <c r="J70" i="2"/>
  <c r="C50" i="2"/>
  <c r="C56" i="2"/>
  <c r="B65" i="2"/>
  <c r="D42" i="1"/>
  <c r="E30" i="1"/>
  <c r="E31" i="1" s="1"/>
  <c r="E33" i="1" s="1"/>
  <c r="D52" i="2" l="1"/>
  <c r="I63" i="2"/>
  <c r="I67" i="2"/>
  <c r="I71" i="2"/>
  <c r="I75" i="2"/>
  <c r="I49" i="2"/>
  <c r="I53" i="2"/>
  <c r="I57" i="2"/>
  <c r="I61" i="2"/>
  <c r="I64" i="2"/>
  <c r="I68" i="2"/>
  <c r="I72" i="2"/>
  <c r="I50" i="2"/>
  <c r="I54" i="2"/>
  <c r="I58" i="2"/>
  <c r="I62" i="2"/>
  <c r="C70" i="2"/>
  <c r="I66" i="2"/>
  <c r="I70" i="2"/>
  <c r="I74" i="2"/>
  <c r="I48" i="2"/>
  <c r="I52" i="2"/>
  <c r="I56" i="2"/>
  <c r="I60" i="2"/>
  <c r="I65" i="2"/>
  <c r="I69" i="2"/>
  <c r="I73" i="2"/>
  <c r="I47" i="2"/>
  <c r="I51" i="2"/>
  <c r="I55" i="2"/>
  <c r="I59" i="2"/>
  <c r="I46" i="2"/>
  <c r="D54" i="2"/>
  <c r="D62" i="2"/>
  <c r="D65" i="2" s="1"/>
  <c r="E66" i="2" s="1"/>
  <c r="D66" i="2" s="1"/>
  <c r="E67" i="2" s="1"/>
  <c r="D67" i="2" s="1"/>
  <c r="E42" i="1"/>
  <c r="D43" i="1" s="1"/>
  <c r="D58" i="2" l="1"/>
  <c r="D59" i="2" s="1"/>
  <c r="D71" i="2"/>
  <c r="D73" i="2" s="1"/>
  <c r="D74" i="2" s="1"/>
  <c r="C52" i="2"/>
  <c r="H51" i="1"/>
  <c r="H48" i="1"/>
  <c r="H44" i="1"/>
  <c r="H45" i="1" s="1"/>
  <c r="H42" i="1"/>
  <c r="H38" i="1"/>
  <c r="H34" i="1"/>
  <c r="H35" i="1"/>
  <c r="H33" i="1"/>
  <c r="H3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O27" i="1"/>
  <c r="N27" i="1"/>
  <c r="M27" i="1"/>
  <c r="H31" i="1"/>
  <c r="H29" i="1"/>
  <c r="H27" i="1"/>
  <c r="H28" i="1"/>
  <c r="E24" i="1"/>
  <c r="D24" i="1"/>
  <c r="D29" i="1"/>
  <c r="D32" i="1" s="1"/>
  <c r="D28" i="1"/>
  <c r="D27" i="1"/>
  <c r="C54" i="2" l="1"/>
  <c r="C62" i="2"/>
  <c r="C65" i="2" s="1"/>
  <c r="B66" i="2" s="1"/>
  <c r="C66" i="2" s="1"/>
  <c r="B67" i="2" s="1"/>
  <c r="C67" i="2" s="1"/>
  <c r="D30" i="1"/>
  <c r="D31" i="1" s="1"/>
  <c r="D33" i="1" s="1"/>
  <c r="D36" i="1"/>
  <c r="C71" i="2" l="1"/>
  <c r="C73" i="2" s="1"/>
  <c r="C74" i="2" s="1"/>
  <c r="C58" i="2"/>
  <c r="C59" i="2" s="1"/>
</calcChain>
</file>

<file path=xl/sharedStrings.xml><?xml version="1.0" encoding="utf-8"?>
<sst xmlns="http://schemas.openxmlformats.org/spreadsheetml/2006/main" count="84" uniqueCount="55">
  <si>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</si>
  <si>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</si>
  <si>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</si>
  <si>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</si>
  <si>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</si>
  <si>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</si>
  <si>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</si>
  <si>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</si>
  <si>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</si>
  <si>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</si>
  <si>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</si>
  <si>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Área da Quadra em m2</t>
  </si>
  <si>
    <t>Perímetro da Quadra em m</t>
  </si>
  <si>
    <t>Número de Árvores na Quadra</t>
  </si>
  <si>
    <t>Informações sobre o bairro:</t>
  </si>
  <si>
    <t>Média</t>
  </si>
  <si>
    <t>Variância</t>
  </si>
  <si>
    <t>n. observações</t>
  </si>
  <si>
    <t>Var. da Média</t>
  </si>
  <si>
    <t>EP da Média</t>
  </si>
  <si>
    <t>Interv. Conf. (95%)</t>
  </si>
  <si>
    <t>Tamanho N da pop.</t>
  </si>
  <si>
    <t>V%</t>
  </si>
  <si>
    <t>Erro aceitável (%)</t>
  </si>
  <si>
    <t>n*</t>
  </si>
  <si>
    <t>T(0,975,34-1)</t>
  </si>
  <si>
    <t>Total</t>
  </si>
  <si>
    <t>n</t>
  </si>
  <si>
    <t>mu_y</t>
  </si>
  <si>
    <t>mu_x</t>
  </si>
  <si>
    <t>R</t>
  </si>
  <si>
    <t>Yi - R Xi</t>
  </si>
  <si>
    <t>Yi²</t>
  </si>
  <si>
    <t>Xi²</t>
  </si>
  <si>
    <t xml:space="preserve">X Y </t>
  </si>
  <si>
    <t>Sum(Yi²)</t>
  </si>
  <si>
    <t>Sum(Xi²)</t>
  </si>
  <si>
    <t>Sum(X Y)</t>
  </si>
  <si>
    <t>s² R</t>
  </si>
  <si>
    <t>var R</t>
  </si>
  <si>
    <t>t (0,975;17-1)</t>
  </si>
  <si>
    <t>Erro Amostral</t>
  </si>
  <si>
    <t>Erro Amostral (%)</t>
  </si>
  <si>
    <t>E%</t>
  </si>
  <si>
    <t>t</t>
  </si>
  <si>
    <t>t (0,975;30-1)</t>
  </si>
  <si>
    <t>N</t>
  </si>
  <si>
    <t>Tau y</t>
  </si>
  <si>
    <t>Var Tau y</t>
  </si>
  <si>
    <t>(Yi - R Xi)²</t>
  </si>
  <si>
    <t>Perímetro total das quadras no bairro =</t>
  </si>
  <si>
    <t>Número total de quadras =</t>
  </si>
  <si>
    <t>Área total das quadras no bairro =</t>
  </si>
  <si>
    <t>Tamanho médio das quadras (mu x1) =</t>
  </si>
  <si>
    <t>Perímetro médio das quadras (mu x2)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</si>
</sst>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3" x14ac:knownFonts="1"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61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1" fontId="0" fillId="2" borderId="0" xfId="0" applyNumberFormat="1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1" fontId="0" fillId="0" borderId="0" xfId="0" applyNumberFormat="1"/>
    <xf numFmtId="166" fontId="0" fillId="0" borderId="0" xfId="0" applyNumberFormat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0" fontId="2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1" fontId="2" fillId="0" borderId="0" xfId="0" applyNumberFormat="1" applyFont="1" applyAlignment="1">
      <alignment horizontal="center"/>
    </xf>
    <xf numFmtId="1" fontId="2" fillId="4" borderId="0" xfId="0" applyNumberFormat="1" applyFont="1" applyFill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90" zoomScaleNormal="90" workbookViewId="0">
      <selection activeCell="H40" sqref="H40"/>
    </sheetView>
  </sheetViews>
  <sheetFormatPr defaultColWidth="11.5703125" defaultRowHeight="12.75" x14ac:dyDescent="0.2"/>
  <cols>
    <col min="1" max="8" width="10.7109375" customWidth="1"/>
  </cols>
  <sheetData>
    <row r="1" spans="1:16" ht="23.6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8"/>
      <c r="J1" s="28"/>
      <c r="K1" s="28"/>
      <c r="L1" s="28"/>
      <c r="M1" s="28"/>
      <c r="N1" s="28"/>
      <c r="O1" s="28"/>
      <c r="P1" s="28"/>
    </row>
    <row r="2" spans="1:16" ht="23.6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8"/>
      <c r="J2" s="28"/>
      <c r="K2" s="28"/>
      <c r="L2" s="28"/>
      <c r="M2" s="28"/>
      <c r="N2" s="28"/>
      <c r="O2" s="28"/>
      <c r="P2" s="28"/>
    </row>
    <row r="3" spans="1:16" ht="12.7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  <c r="I3" s="28"/>
      <c r="J3" s="28"/>
      <c r="K3" s="28"/>
      <c r="L3" s="28"/>
      <c r="M3" s="28"/>
      <c r="N3" s="28"/>
      <c r="O3" s="28"/>
      <c r="P3" s="28"/>
    </row>
    <row r="4" spans="1:16" ht="23.65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8"/>
      <c r="J4" s="28"/>
      <c r="K4" s="28"/>
      <c r="L4" s="28"/>
      <c r="M4" s="28"/>
      <c r="N4" s="28"/>
      <c r="O4" s="28"/>
      <c r="P4" s="28"/>
    </row>
    <row r="5" spans="1:16" ht="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45" x14ac:dyDescent="0.25">
      <c r="A6" s="28"/>
      <c r="B6" s="28"/>
      <c r="C6" s="29" t="s">
        <v>4</v>
      </c>
      <c r="D6" s="29" t="s">
        <v>5</v>
      </c>
      <c r="E6" s="29" t="s">
        <v>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15" x14ac:dyDescent="0.25">
      <c r="A7" s="28"/>
      <c r="B7" s="28"/>
      <c r="C7" s="30">
        <v>101</v>
      </c>
      <c r="D7" s="30">
        <v>0.115</v>
      </c>
      <c r="E7" s="30">
        <v>47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5" x14ac:dyDescent="0.25">
      <c r="A8" s="28"/>
      <c r="B8" s="28"/>
      <c r="C8" s="30">
        <v>405</v>
      </c>
      <c r="D8" s="30">
        <v>0.25</v>
      </c>
      <c r="E8" s="30">
        <v>72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5" x14ac:dyDescent="0.25">
      <c r="A9" s="28"/>
      <c r="B9" s="28"/>
      <c r="C9" s="30">
        <v>408</v>
      </c>
      <c r="D9" s="30">
        <v>0.25</v>
      </c>
      <c r="E9" s="30">
        <v>83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5" x14ac:dyDescent="0.25">
      <c r="A10" s="28"/>
      <c r="B10" s="28"/>
      <c r="C10" s="30">
        <v>410</v>
      </c>
      <c r="D10" s="30">
        <v>0.25</v>
      </c>
      <c r="E10" s="30">
        <v>95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5" x14ac:dyDescent="0.25">
      <c r="A11" s="28"/>
      <c r="B11" s="28"/>
      <c r="C11" s="30">
        <v>412</v>
      </c>
      <c r="D11" s="30">
        <v>0.25</v>
      </c>
      <c r="E11" s="30">
        <v>105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5" x14ac:dyDescent="0.25">
      <c r="A12" s="28"/>
      <c r="B12" s="28"/>
      <c r="C12" s="30">
        <v>413</v>
      </c>
      <c r="D12" s="30">
        <v>0.25</v>
      </c>
      <c r="E12" s="30">
        <v>108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5" x14ac:dyDescent="0.25">
      <c r="A13" s="28"/>
      <c r="B13" s="28"/>
      <c r="C13" s="30">
        <v>415</v>
      </c>
      <c r="D13" s="30">
        <v>0.25</v>
      </c>
      <c r="E13" s="30">
        <v>60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5" x14ac:dyDescent="0.25">
      <c r="A14" s="28"/>
      <c r="B14" s="28"/>
      <c r="C14" s="30">
        <v>416</v>
      </c>
      <c r="D14" s="30">
        <v>0.25</v>
      </c>
      <c r="E14" s="30">
        <v>91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15" x14ac:dyDescent="0.25">
      <c r="A15" s="28"/>
      <c r="B15" s="28"/>
      <c r="C15" s="30">
        <v>417</v>
      </c>
      <c r="D15" s="30">
        <v>0.25</v>
      </c>
      <c r="E15" s="30">
        <v>83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15" x14ac:dyDescent="0.25">
      <c r="A16" s="28"/>
      <c r="B16" s="28"/>
      <c r="C16" s="30">
        <v>401</v>
      </c>
      <c r="D16" s="30">
        <v>0.5</v>
      </c>
      <c r="E16" s="30">
        <v>158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15" x14ac:dyDescent="0.25">
      <c r="A17" s="28"/>
      <c r="B17" s="28"/>
      <c r="C17" s="30">
        <v>403</v>
      </c>
      <c r="D17" s="30">
        <v>0.5</v>
      </c>
      <c r="E17" s="30">
        <v>121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15" x14ac:dyDescent="0.25">
      <c r="A18" s="28"/>
      <c r="B18" s="28"/>
      <c r="C18" s="30">
        <v>404</v>
      </c>
      <c r="D18" s="30">
        <v>0.5</v>
      </c>
      <c r="E18" s="30">
        <v>120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15" x14ac:dyDescent="0.25">
      <c r="A19" s="28"/>
      <c r="B19" s="28"/>
      <c r="C19" s="30">
        <v>406</v>
      </c>
      <c r="D19" s="30">
        <v>0.5</v>
      </c>
      <c r="E19" s="30">
        <v>171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5" x14ac:dyDescent="0.25">
      <c r="A20" s="28"/>
      <c r="B20" s="28"/>
      <c r="C20" s="30">
        <v>407</v>
      </c>
      <c r="D20" s="30">
        <v>0.5</v>
      </c>
      <c r="E20" s="30">
        <v>143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15" x14ac:dyDescent="0.25">
      <c r="A21" s="28"/>
      <c r="B21" s="28"/>
      <c r="C21" s="30">
        <v>409</v>
      </c>
      <c r="D21" s="30">
        <v>0.5</v>
      </c>
      <c r="E21" s="30">
        <v>166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15" x14ac:dyDescent="0.25">
      <c r="A22" s="28"/>
      <c r="B22" s="28"/>
      <c r="C22" s="30">
        <v>411</v>
      </c>
      <c r="D22" s="30">
        <v>0.5</v>
      </c>
      <c r="E22" s="30">
        <v>192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5" x14ac:dyDescent="0.25">
      <c r="A23" s="28"/>
      <c r="B23" s="28"/>
      <c r="C23" s="30">
        <v>414</v>
      </c>
      <c r="D23" s="30">
        <v>0.5</v>
      </c>
      <c r="E23" s="30">
        <v>170</v>
      </c>
      <c r="F23" s="31"/>
      <c r="G23" s="31"/>
      <c r="H23" s="31"/>
      <c r="I23" s="28"/>
      <c r="J23" s="28"/>
      <c r="K23" s="28"/>
      <c r="L23" s="28"/>
      <c r="M23" s="28"/>
      <c r="N23" s="28"/>
      <c r="O23" s="28"/>
      <c r="P23" s="28"/>
    </row>
    <row r="24" spans="1:16" ht="15" x14ac:dyDescent="0.25">
      <c r="A24" s="28"/>
      <c r="B24" s="28"/>
      <c r="C24" s="30" t="s">
        <v>26</v>
      </c>
      <c r="D24" s="30">
        <f>SUM(D7:D23)</f>
        <v>6.1150000000000002</v>
      </c>
      <c r="E24" s="30">
        <f>SUM(E7:E23)</f>
        <v>1985</v>
      </c>
      <c r="F24" s="31"/>
      <c r="G24" s="31"/>
      <c r="H24" s="31"/>
      <c r="I24" s="28"/>
      <c r="J24" s="28"/>
      <c r="K24" s="28"/>
      <c r="L24" s="28"/>
      <c r="M24" s="28"/>
      <c r="N24" s="28"/>
      <c r="O24" s="28"/>
      <c r="P24" s="28"/>
    </row>
    <row r="25" spans="1:16" ht="15" x14ac:dyDescent="0.25">
      <c r="A25" s="28"/>
      <c r="B25" s="28"/>
      <c r="C25" s="28"/>
      <c r="D25" s="28"/>
      <c r="E25" s="28"/>
      <c r="F25" s="31"/>
      <c r="G25" s="31"/>
      <c r="H25" s="31"/>
      <c r="I25" s="28"/>
      <c r="J25" s="28"/>
      <c r="K25" s="28"/>
      <c r="L25" s="28"/>
      <c r="M25" s="28"/>
      <c r="N25" s="28"/>
      <c r="O25" s="28"/>
      <c r="P25" s="28"/>
    </row>
    <row r="26" spans="1:16" s="17" customFormat="1" ht="45" x14ac:dyDescent="0.2">
      <c r="A26" s="32"/>
      <c r="B26" s="32"/>
      <c r="C26" s="33"/>
      <c r="D26" s="34" t="s">
        <v>5</v>
      </c>
      <c r="E26" s="34" t="s">
        <v>6</v>
      </c>
      <c r="F26" s="35"/>
      <c r="G26" s="35"/>
      <c r="H26" s="36"/>
      <c r="I26" s="32"/>
      <c r="J26" s="32"/>
      <c r="K26" s="32" t="s">
        <v>4</v>
      </c>
      <c r="L26" s="32" t="s">
        <v>31</v>
      </c>
      <c r="M26" s="32" t="s">
        <v>32</v>
      </c>
      <c r="N26" s="32" t="s">
        <v>33</v>
      </c>
      <c r="O26" s="32" t="s">
        <v>34</v>
      </c>
      <c r="P26" s="32"/>
    </row>
    <row r="27" spans="1:16" ht="15" x14ac:dyDescent="0.25">
      <c r="A27" s="28"/>
      <c r="B27" s="28"/>
      <c r="C27" s="37" t="s">
        <v>15</v>
      </c>
      <c r="D27" s="38">
        <f>AVERAGE(D7:D23)</f>
        <v>0.35970588235294121</v>
      </c>
      <c r="E27" s="38">
        <f>AVERAGE(E7:E23)</f>
        <v>116.76470588235294</v>
      </c>
      <c r="F27" s="39"/>
      <c r="G27" s="40" t="s">
        <v>27</v>
      </c>
      <c r="H27" s="41">
        <f>COUNT(E7:E23)</f>
        <v>17</v>
      </c>
      <c r="I27" s="28"/>
      <c r="J27" s="28"/>
      <c r="K27" s="42">
        <v>101</v>
      </c>
      <c r="L27" s="28">
        <f>(E7-H$31*D7)^2</f>
        <v>552.85437167683904</v>
      </c>
      <c r="M27" s="28">
        <f>E7^2</f>
        <v>2209</v>
      </c>
      <c r="N27" s="28">
        <f>D7^2</f>
        <v>1.3225000000000001E-2</v>
      </c>
      <c r="O27" s="28">
        <f>E7*D7</f>
        <v>5.4050000000000002</v>
      </c>
      <c r="P27" s="28"/>
    </row>
    <row r="28" spans="1:16" ht="15" x14ac:dyDescent="0.25">
      <c r="A28" s="28"/>
      <c r="B28" s="28"/>
      <c r="C28" s="37" t="s">
        <v>16</v>
      </c>
      <c r="D28" s="38">
        <f>_xlfn.VAR.S(D7:D23)</f>
        <v>1.9601470588235304E-2</v>
      </c>
      <c r="E28" s="38">
        <f>_xlfn.VAR.S(E7:E23)</f>
        <v>1875.1911764705874</v>
      </c>
      <c r="F28" s="39"/>
      <c r="G28" s="40" t="s">
        <v>28</v>
      </c>
      <c r="H28" s="39">
        <f>AVERAGE(E7:E24)</f>
        <v>220.55555555555554</v>
      </c>
      <c r="I28" s="28"/>
      <c r="J28" s="28"/>
      <c r="K28" s="42">
        <v>405</v>
      </c>
      <c r="L28" s="28">
        <f t="shared" ref="L28:L43" si="0">(E8-H$31*D8)^2</f>
        <v>6607.8716404764964</v>
      </c>
      <c r="M28" s="28">
        <f t="shared" ref="M28:M43" si="1">E8^2</f>
        <v>5184</v>
      </c>
      <c r="N28" s="28">
        <f t="shared" ref="N28:N43" si="2">D8^2</f>
        <v>6.25E-2</v>
      </c>
      <c r="O28" s="28">
        <f t="shared" ref="O28:O43" si="3">E8*D8</f>
        <v>18</v>
      </c>
      <c r="P28" s="28"/>
    </row>
    <row r="29" spans="1:16" ht="15" x14ac:dyDescent="0.25">
      <c r="A29" s="28"/>
      <c r="B29" s="28"/>
      <c r="C29" s="37" t="s">
        <v>17</v>
      </c>
      <c r="D29" s="42">
        <f>COUNT(D7:D23)</f>
        <v>17</v>
      </c>
      <c r="E29" s="42">
        <f>COUNT(E7:E23)</f>
        <v>17</v>
      </c>
      <c r="F29" s="41"/>
      <c r="G29" s="43" t="s">
        <v>29</v>
      </c>
      <c r="H29" s="39">
        <f>AVERAGE(D7:D23)</f>
        <v>0.35970588235294121</v>
      </c>
      <c r="I29" s="28"/>
      <c r="J29" s="28"/>
      <c r="K29" s="42">
        <v>408</v>
      </c>
      <c r="L29" s="28">
        <f t="shared" si="0"/>
        <v>4940.5176839034066</v>
      </c>
      <c r="M29" s="28">
        <f t="shared" si="1"/>
        <v>6889</v>
      </c>
      <c r="N29" s="28">
        <f t="shared" si="2"/>
        <v>6.25E-2</v>
      </c>
      <c r="O29" s="28">
        <f t="shared" si="3"/>
        <v>20.75</v>
      </c>
      <c r="P29" s="28"/>
    </row>
    <row r="30" spans="1:16" ht="15" x14ac:dyDescent="0.25">
      <c r="A30" s="28"/>
      <c r="B30" s="28"/>
      <c r="C30" s="37" t="s">
        <v>18</v>
      </c>
      <c r="D30" s="38">
        <f>D28/D29</f>
        <v>1.1530276816609003E-3</v>
      </c>
      <c r="E30" s="38">
        <f>E28/E29</f>
        <v>110.30536332179926</v>
      </c>
      <c r="F30" s="39"/>
      <c r="G30" s="40"/>
      <c r="H30" s="41"/>
      <c r="I30" s="28"/>
      <c r="J30" s="28"/>
      <c r="K30" s="42">
        <v>410</v>
      </c>
      <c r="L30" s="28">
        <f t="shared" si="0"/>
        <v>3397.5860949145817</v>
      </c>
      <c r="M30" s="28">
        <f t="shared" si="1"/>
        <v>9025</v>
      </c>
      <c r="N30" s="28">
        <f t="shared" si="2"/>
        <v>6.25E-2</v>
      </c>
      <c r="O30" s="28">
        <f t="shared" si="3"/>
        <v>23.75</v>
      </c>
      <c r="P30" s="28"/>
    </row>
    <row r="31" spans="1:16" ht="15" x14ac:dyDescent="0.25">
      <c r="A31" s="28"/>
      <c r="B31" s="28"/>
      <c r="C31" s="37" t="s">
        <v>19</v>
      </c>
      <c r="D31" s="39">
        <f>SQRT(D30)</f>
        <v>3.3956261302753872E-2</v>
      </c>
      <c r="E31" s="39">
        <f>SQRT(E30)</f>
        <v>10.502636017771884</v>
      </c>
      <c r="F31" s="39"/>
      <c r="G31" s="40" t="s">
        <v>30</v>
      </c>
      <c r="H31" s="39">
        <f>H28/H29</f>
        <v>613.15526483147084</v>
      </c>
      <c r="I31" s="28"/>
      <c r="J31" s="28"/>
      <c r="K31" s="42">
        <v>412</v>
      </c>
      <c r="L31" s="28">
        <f t="shared" si="0"/>
        <v>2331.8097707572274</v>
      </c>
      <c r="M31" s="28">
        <f t="shared" si="1"/>
        <v>11025</v>
      </c>
      <c r="N31" s="28">
        <f t="shared" si="2"/>
        <v>6.25E-2</v>
      </c>
      <c r="O31" s="28">
        <f t="shared" si="3"/>
        <v>26.25</v>
      </c>
      <c r="P31" s="28"/>
    </row>
    <row r="32" spans="1:16" ht="15" x14ac:dyDescent="0.25">
      <c r="A32" s="28"/>
      <c r="B32" s="28"/>
      <c r="C32" s="37" t="s">
        <v>25</v>
      </c>
      <c r="D32" s="39">
        <f>_xlfn.T.INV(0.975, D29-1)</f>
        <v>2.119905299221255</v>
      </c>
      <c r="E32" s="39">
        <f>_xlfn.T.INV(0.975, E29-1)</f>
        <v>2.119905299221255</v>
      </c>
      <c r="F32" s="39"/>
      <c r="G32" s="40"/>
      <c r="H32" s="41"/>
      <c r="I32" s="28"/>
      <c r="J32" s="28"/>
      <c r="K32" s="42">
        <v>413</v>
      </c>
      <c r="L32" s="28">
        <f t="shared" si="0"/>
        <v>2051.076873510021</v>
      </c>
      <c r="M32" s="28">
        <f t="shared" si="1"/>
        <v>11664</v>
      </c>
      <c r="N32" s="28">
        <f t="shared" si="2"/>
        <v>6.25E-2</v>
      </c>
      <c r="O32" s="28">
        <f t="shared" si="3"/>
        <v>27</v>
      </c>
      <c r="P32" s="28"/>
    </row>
    <row r="33" spans="1:16" ht="15" x14ac:dyDescent="0.25">
      <c r="A33" s="28"/>
      <c r="B33" s="28"/>
      <c r="C33" s="37" t="s">
        <v>20</v>
      </c>
      <c r="D33" s="44">
        <f>(D32*D31)/D27</f>
        <v>0.20011921352684262</v>
      </c>
      <c r="E33" s="44">
        <f>(E32*E31)/E27</f>
        <v>0.19067914042706943</v>
      </c>
      <c r="F33" s="44"/>
      <c r="G33" s="43" t="s">
        <v>35</v>
      </c>
      <c r="H33" s="45">
        <f>SUM(M27:M43)</f>
        <v>261781</v>
      </c>
      <c r="I33" s="28"/>
      <c r="J33" s="28"/>
      <c r="K33" s="42">
        <v>415</v>
      </c>
      <c r="L33" s="28">
        <f t="shared" si="0"/>
        <v>8702.8032294653221</v>
      </c>
      <c r="M33" s="28">
        <f t="shared" si="1"/>
        <v>3600</v>
      </c>
      <c r="N33" s="28">
        <f t="shared" si="2"/>
        <v>6.25E-2</v>
      </c>
      <c r="O33" s="28">
        <f t="shared" si="3"/>
        <v>15</v>
      </c>
      <c r="P33" s="28"/>
    </row>
    <row r="34" spans="1:16" ht="15" x14ac:dyDescent="0.25">
      <c r="A34" s="28"/>
      <c r="B34" s="28"/>
      <c r="C34" s="37"/>
      <c r="D34" s="41"/>
      <c r="E34" s="41"/>
      <c r="F34" s="41"/>
      <c r="G34" s="40" t="s">
        <v>36</v>
      </c>
      <c r="H34" s="46">
        <f>SUM(N27:N43)</f>
        <v>2.5132250000000003</v>
      </c>
      <c r="I34" s="28"/>
      <c r="J34" s="28"/>
      <c r="K34" s="42">
        <v>416</v>
      </c>
      <c r="L34" s="28">
        <f t="shared" si="0"/>
        <v>3879.8966245775232</v>
      </c>
      <c r="M34" s="28">
        <f t="shared" si="1"/>
        <v>8281</v>
      </c>
      <c r="N34" s="28">
        <f t="shared" si="2"/>
        <v>6.25E-2</v>
      </c>
      <c r="O34" s="28">
        <f t="shared" si="3"/>
        <v>22.75</v>
      </c>
      <c r="P34" s="28"/>
    </row>
    <row r="35" spans="1:16" ht="15" x14ac:dyDescent="0.25">
      <c r="A35" s="28"/>
      <c r="B35" s="28"/>
      <c r="C35" s="37" t="s">
        <v>21</v>
      </c>
      <c r="D35" s="42">
        <v>20000</v>
      </c>
      <c r="E35" s="42">
        <v>20000</v>
      </c>
      <c r="F35" s="41"/>
      <c r="G35" s="43" t="s">
        <v>37</v>
      </c>
      <c r="H35" s="46">
        <f>SUM(O27:O43)</f>
        <v>800.15499999999997</v>
      </c>
      <c r="I35" s="28"/>
      <c r="J35" s="28"/>
      <c r="K35" s="42">
        <v>417</v>
      </c>
      <c r="L35" s="28">
        <f t="shared" si="0"/>
        <v>4940.5176839034066</v>
      </c>
      <c r="M35" s="28">
        <f t="shared" si="1"/>
        <v>6889</v>
      </c>
      <c r="N35" s="28">
        <f t="shared" si="2"/>
        <v>6.25E-2</v>
      </c>
      <c r="O35" s="28">
        <f t="shared" si="3"/>
        <v>20.75</v>
      </c>
      <c r="P35" s="28"/>
    </row>
    <row r="36" spans="1:16" ht="15" x14ac:dyDescent="0.25">
      <c r="A36" s="28"/>
      <c r="B36" s="28"/>
      <c r="C36" s="37" t="s">
        <v>22</v>
      </c>
      <c r="D36" s="38">
        <f>SQRT(D28)*100/D27</f>
        <v>38.922146918063319</v>
      </c>
      <c r="E36" s="38">
        <f>SQRT(E28)*100/E27</f>
        <v>37.086101764621091</v>
      </c>
      <c r="F36" s="39"/>
      <c r="G36" s="47"/>
      <c r="H36" s="41"/>
      <c r="I36" s="28"/>
      <c r="J36" s="28"/>
      <c r="K36" s="42">
        <v>401</v>
      </c>
      <c r="L36" s="28">
        <f t="shared" si="0"/>
        <v>22075.312854265394</v>
      </c>
      <c r="M36" s="28">
        <f t="shared" si="1"/>
        <v>24964</v>
      </c>
      <c r="N36" s="28">
        <f t="shared" si="2"/>
        <v>0.25</v>
      </c>
      <c r="O36" s="28">
        <f t="shared" si="3"/>
        <v>79</v>
      </c>
      <c r="P36" s="28"/>
    </row>
    <row r="37" spans="1:16" ht="15" x14ac:dyDescent="0.25">
      <c r="A37" s="28"/>
      <c r="B37" s="28"/>
      <c r="C37" s="37" t="s">
        <v>23</v>
      </c>
      <c r="D37" s="42">
        <v>5</v>
      </c>
      <c r="E37" s="42">
        <v>5</v>
      </c>
      <c r="F37" s="41"/>
      <c r="G37" s="40" t="s">
        <v>38</v>
      </c>
      <c r="H37" s="39">
        <f>SUM(L27:L43)/(H27-1)</f>
        <v>14088.312993651987</v>
      </c>
      <c r="I37" s="28"/>
      <c r="J37" s="28"/>
      <c r="K37" s="42">
        <v>403</v>
      </c>
      <c r="L37" s="28">
        <f t="shared" si="0"/>
        <v>34439.057653029813</v>
      </c>
      <c r="M37" s="28">
        <f t="shared" si="1"/>
        <v>14641</v>
      </c>
      <c r="N37" s="28">
        <f t="shared" si="2"/>
        <v>0.25</v>
      </c>
      <c r="O37" s="28">
        <f t="shared" si="3"/>
        <v>60.5</v>
      </c>
      <c r="P37" s="28"/>
    </row>
    <row r="38" spans="1:16" ht="15" x14ac:dyDescent="0.25">
      <c r="A38" s="28"/>
      <c r="B38" s="28"/>
      <c r="C38" s="48"/>
      <c r="D38" s="48"/>
      <c r="E38" s="48"/>
      <c r="F38" s="49"/>
      <c r="G38" s="50" t="s">
        <v>38</v>
      </c>
      <c r="H38" s="46">
        <f>(H33+H31^2*H34-2*H31*H35)/(H27-1)</f>
        <v>14088.312993652005</v>
      </c>
      <c r="I38" s="28"/>
      <c r="J38" s="28"/>
      <c r="K38" s="42">
        <v>404</v>
      </c>
      <c r="L38" s="28">
        <f t="shared" si="0"/>
        <v>34811.212917861289</v>
      </c>
      <c r="M38" s="28">
        <f t="shared" si="1"/>
        <v>14400</v>
      </c>
      <c r="N38" s="28">
        <f t="shared" si="2"/>
        <v>0.25</v>
      </c>
      <c r="O38" s="28">
        <f t="shared" si="3"/>
        <v>60</v>
      </c>
      <c r="P38" s="28"/>
    </row>
    <row r="39" spans="1:16" ht="15" x14ac:dyDescent="0.25">
      <c r="A39" s="28"/>
      <c r="B39" s="28"/>
      <c r="C39" s="48"/>
      <c r="D39" s="42" t="s">
        <v>44</v>
      </c>
      <c r="E39" s="42" t="s">
        <v>24</v>
      </c>
      <c r="F39" s="39"/>
      <c r="G39" s="51"/>
      <c r="H39" s="45"/>
      <c r="I39" s="28"/>
      <c r="J39" s="28"/>
      <c r="K39" s="42">
        <v>406</v>
      </c>
      <c r="L39" s="28">
        <f t="shared" si="0"/>
        <v>18381.294411456271</v>
      </c>
      <c r="M39" s="28">
        <f t="shared" si="1"/>
        <v>29241</v>
      </c>
      <c r="N39" s="28">
        <f t="shared" si="2"/>
        <v>0.25</v>
      </c>
      <c r="O39" s="28">
        <f t="shared" si="3"/>
        <v>85.5</v>
      </c>
      <c r="P39" s="28"/>
    </row>
    <row r="40" spans="1:16" ht="12.75" customHeight="1" x14ac:dyDescent="0.25">
      <c r="A40" s="28"/>
      <c r="B40" s="52"/>
      <c r="C40" s="37"/>
      <c r="D40" s="39">
        <f>_xlfn.T.INV(0.975,D29-1)</f>
        <v>2.119905299221255</v>
      </c>
      <c r="E40" s="53">
        <f>(E$35*(D40*E$36)^2)/(E$35*E$37^2+(D40*E$36)^2)</f>
        <v>244.21902366034971</v>
      </c>
      <c r="F40" s="54"/>
      <c r="G40" s="59" t="s">
        <v>39</v>
      </c>
      <c r="H40" s="60">
        <f>(1/H29)^2*(H37/H27)</f>
        <v>6404.9388864449029</v>
      </c>
      <c r="I40" s="28"/>
      <c r="J40" s="28"/>
      <c r="K40" s="42">
        <v>407</v>
      </c>
      <c r="L40" s="28">
        <f t="shared" si="0"/>
        <v>26757.641826737457</v>
      </c>
      <c r="M40" s="28">
        <f t="shared" si="1"/>
        <v>20449</v>
      </c>
      <c r="N40" s="28">
        <f t="shared" si="2"/>
        <v>0.25</v>
      </c>
      <c r="O40" s="28">
        <f t="shared" si="3"/>
        <v>71.5</v>
      </c>
      <c r="P40" s="28"/>
    </row>
    <row r="41" spans="1:16" ht="15" x14ac:dyDescent="0.25">
      <c r="A41" s="28"/>
      <c r="B41" s="28"/>
      <c r="C41" s="37"/>
      <c r="D41" s="39">
        <f>_xlfn.T.INV(0.975,E40-1)</f>
        <v>1.9697743954267517</v>
      </c>
      <c r="E41" s="53">
        <f t="shared" ref="E41:E42" si="4">(E$35*(D41*E$36)^2)/(E$35*E$37^2+(D41*E$36)^2)</f>
        <v>211.20523911963144</v>
      </c>
      <c r="F41" s="31"/>
      <c r="G41" s="43"/>
      <c r="H41" s="41"/>
      <c r="I41" s="28"/>
      <c r="J41" s="28"/>
      <c r="K41" s="42">
        <v>409</v>
      </c>
      <c r="L41" s="28">
        <f t="shared" si="0"/>
        <v>19762.070735613626</v>
      </c>
      <c r="M41" s="28">
        <f t="shared" si="1"/>
        <v>27556</v>
      </c>
      <c r="N41" s="28">
        <f t="shared" si="2"/>
        <v>0.25</v>
      </c>
      <c r="O41" s="28">
        <f t="shared" si="3"/>
        <v>83</v>
      </c>
      <c r="P41" s="28"/>
    </row>
    <row r="42" spans="1:16" ht="15" x14ac:dyDescent="0.25">
      <c r="A42" s="28"/>
      <c r="B42" s="28"/>
      <c r="C42" s="55"/>
      <c r="D42" s="39">
        <f>_xlfn.T.INV(0.975,E41-1)</f>
        <v>1.9713247932433295</v>
      </c>
      <c r="E42" s="53">
        <f t="shared" si="4"/>
        <v>211.5343288658583</v>
      </c>
      <c r="F42" s="31"/>
      <c r="G42" s="43" t="s">
        <v>40</v>
      </c>
      <c r="H42" s="41">
        <f>_xlfn.T.INV(0.975,H27-1)</f>
        <v>2.119905299221255</v>
      </c>
      <c r="I42" s="28"/>
      <c r="J42" s="28"/>
      <c r="K42" s="42">
        <v>411</v>
      </c>
      <c r="L42" s="28">
        <f t="shared" si="0"/>
        <v>13128.033849995385</v>
      </c>
      <c r="M42" s="28">
        <f t="shared" si="1"/>
        <v>36864</v>
      </c>
      <c r="N42" s="28">
        <f t="shared" si="2"/>
        <v>0.25</v>
      </c>
      <c r="O42" s="28">
        <f t="shared" si="3"/>
        <v>96</v>
      </c>
      <c r="P42" s="28"/>
    </row>
    <row r="43" spans="1:16" ht="15" x14ac:dyDescent="0.25">
      <c r="A43" s="28"/>
      <c r="B43" s="28"/>
      <c r="C43" s="28"/>
      <c r="D43" s="39">
        <f>_xlfn.T.INV(0.975,E42-1)</f>
        <v>1.9713247932433295</v>
      </c>
      <c r="E43" s="58">
        <f>(E$35*(D43*E$36)^2)/(E$35*E$37^2+(D43*E$36)^2)</f>
        <v>211.5343288658583</v>
      </c>
      <c r="F43" s="31"/>
      <c r="G43" s="43"/>
      <c r="H43" s="41"/>
      <c r="I43" s="28"/>
      <c r="J43" s="28"/>
      <c r="K43" s="42">
        <v>414</v>
      </c>
      <c r="L43" s="28">
        <f t="shared" si="0"/>
        <v>18653.449676287742</v>
      </c>
      <c r="M43" s="28">
        <f t="shared" si="1"/>
        <v>28900</v>
      </c>
      <c r="N43" s="28">
        <f t="shared" si="2"/>
        <v>0.25</v>
      </c>
      <c r="O43" s="28">
        <f t="shared" si="3"/>
        <v>85</v>
      </c>
      <c r="P43" s="28"/>
    </row>
    <row r="44" spans="1:16" ht="15" x14ac:dyDescent="0.25">
      <c r="A44" s="28"/>
      <c r="B44" s="28"/>
      <c r="C44" s="28"/>
      <c r="D44" s="28"/>
      <c r="E44" s="28"/>
      <c r="F44" s="31"/>
      <c r="G44" s="43" t="s">
        <v>41</v>
      </c>
      <c r="H44" s="41">
        <f>H42*SQRT(H40)</f>
        <v>169.65784864022487</v>
      </c>
      <c r="I44" s="28"/>
      <c r="J44" s="28"/>
      <c r="K44" s="48"/>
      <c r="L44" s="28"/>
      <c r="M44" s="28"/>
      <c r="N44" s="28"/>
      <c r="O44" s="28"/>
      <c r="P44" s="28"/>
    </row>
    <row r="45" spans="1:16" ht="15" x14ac:dyDescent="0.25">
      <c r="A45" s="28"/>
      <c r="B45" s="28"/>
      <c r="C45" s="28"/>
      <c r="D45" s="28"/>
      <c r="E45" s="28"/>
      <c r="F45" s="31"/>
      <c r="G45" s="43" t="s">
        <v>42</v>
      </c>
      <c r="H45" s="41">
        <f>H44/H28*100</f>
        <v>76.922954043426898</v>
      </c>
      <c r="I45" s="28"/>
      <c r="J45" s="28"/>
      <c r="K45" s="48"/>
      <c r="L45" s="28"/>
      <c r="M45" s="28"/>
      <c r="N45" s="28"/>
      <c r="O45" s="28"/>
      <c r="P45" s="28"/>
    </row>
    <row r="46" spans="1:16" ht="15" x14ac:dyDescent="0.25">
      <c r="A46" s="28"/>
      <c r="B46" s="28"/>
      <c r="C46" s="28"/>
      <c r="D46" s="28"/>
      <c r="E46" s="28"/>
      <c r="F46" s="31"/>
      <c r="G46" s="43"/>
      <c r="H46" s="41"/>
      <c r="I46" s="28"/>
      <c r="J46" s="28"/>
      <c r="K46" s="28"/>
      <c r="L46" s="28"/>
      <c r="M46" s="28"/>
      <c r="N46" s="28"/>
      <c r="O46" s="28"/>
      <c r="P46" s="28"/>
    </row>
    <row r="47" spans="1:16" ht="15" x14ac:dyDescent="0.25">
      <c r="A47" s="28"/>
      <c r="B47" s="28"/>
      <c r="C47" s="28"/>
      <c r="D47" s="28"/>
      <c r="E47" s="28"/>
      <c r="F47" s="31"/>
      <c r="G47" s="43" t="s">
        <v>43</v>
      </c>
      <c r="H47" s="45">
        <v>5</v>
      </c>
      <c r="I47" s="28"/>
      <c r="J47" s="28"/>
      <c r="K47" s="28"/>
      <c r="L47" s="28"/>
      <c r="M47" s="28"/>
      <c r="N47" s="28"/>
      <c r="O47" s="28"/>
      <c r="P47" s="28"/>
    </row>
    <row r="48" spans="1:16" ht="15" x14ac:dyDescent="0.25">
      <c r="A48" s="28"/>
      <c r="B48" s="28"/>
      <c r="C48" s="28"/>
      <c r="D48" s="28"/>
      <c r="E48" s="28"/>
      <c r="F48" s="28"/>
      <c r="G48" s="51" t="s">
        <v>22</v>
      </c>
      <c r="H48" s="41">
        <f>SQRT(H37)/H31*100</f>
        <v>19.357935306512221</v>
      </c>
      <c r="I48" s="28"/>
      <c r="J48" s="28"/>
      <c r="K48" s="28"/>
      <c r="L48" s="28"/>
      <c r="M48" s="28"/>
      <c r="N48" s="28"/>
      <c r="O48" s="28"/>
      <c r="P48" s="28"/>
    </row>
    <row r="49" spans="1:16" ht="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5" x14ac:dyDescent="0.25">
      <c r="A50" s="28"/>
      <c r="B50" s="28"/>
      <c r="C50" s="28"/>
      <c r="D50" s="28"/>
      <c r="E50" s="28"/>
      <c r="F50" s="28"/>
      <c r="G50" s="28"/>
      <c r="H50" s="45" t="s">
        <v>44</v>
      </c>
      <c r="I50" s="45" t="s">
        <v>24</v>
      </c>
      <c r="J50" s="28"/>
      <c r="K50" s="28"/>
      <c r="L50" s="28"/>
      <c r="M50" s="28"/>
      <c r="N50" s="28"/>
      <c r="O50" s="28"/>
      <c r="P50" s="28"/>
    </row>
    <row r="51" spans="1:16" ht="15" x14ac:dyDescent="0.25">
      <c r="A51" s="28"/>
      <c r="B51" s="28"/>
      <c r="C51" s="28"/>
      <c r="D51" s="28"/>
      <c r="E51" s="28"/>
      <c r="F51" s="28"/>
      <c r="G51" s="28"/>
      <c r="H51" s="39">
        <f>_xlfn.T.INV(0.975,H27-1)</f>
        <v>2.119905299221255</v>
      </c>
      <c r="I51" s="56">
        <f>(E$35*(H51*H$48)^2)/(E$35*H$47^2+(H51*H$48)^2)</f>
        <v>67.135264537030665</v>
      </c>
      <c r="J51" s="28"/>
      <c r="K51" s="28"/>
      <c r="L51" s="28"/>
      <c r="M51" s="28"/>
      <c r="N51" s="28"/>
      <c r="O51" s="28"/>
      <c r="P51" s="28"/>
    </row>
    <row r="52" spans="1:16" ht="15" x14ac:dyDescent="0.25">
      <c r="A52" s="28"/>
      <c r="B52" s="28"/>
      <c r="C52" s="28"/>
      <c r="D52" s="28"/>
      <c r="E52" s="28"/>
      <c r="F52" s="28"/>
      <c r="G52" s="28"/>
      <c r="H52" s="39">
        <f>_xlfn.T.INV(0.975,I51-1)</f>
        <v>1.996564418952312</v>
      </c>
      <c r="I52" s="56">
        <f>(E$35*(H52*H$48)^2)/(E$35*H$47^2+(H52*H$48)^2)</f>
        <v>59.572959151162117</v>
      </c>
      <c r="J52" s="28"/>
      <c r="K52" s="28"/>
      <c r="L52" s="28"/>
      <c r="M52" s="28"/>
      <c r="N52" s="28"/>
      <c r="O52" s="28"/>
      <c r="P52" s="28"/>
    </row>
    <row r="53" spans="1:16" ht="15" x14ac:dyDescent="0.25">
      <c r="A53" s="28"/>
      <c r="B53" s="28"/>
      <c r="C53" s="28"/>
      <c r="D53" s="28"/>
      <c r="E53" s="28"/>
      <c r="F53" s="28"/>
      <c r="G53" s="28"/>
      <c r="H53" s="39">
        <f>_xlfn.T.INV(0.975,I52-1)</f>
        <v>2.0017174841452352</v>
      </c>
      <c r="I53" s="57">
        <f>(E$35*(H53*H$48)^2)/(E$35*H$47^2+(H53*H$48)^2)</f>
        <v>59.879945695402839</v>
      </c>
      <c r="J53" s="28"/>
      <c r="K53" s="28"/>
      <c r="L53" s="28"/>
      <c r="M53" s="28"/>
      <c r="N53" s="28"/>
      <c r="O53" s="28"/>
      <c r="P53" s="28"/>
    </row>
    <row r="54" spans="1:16" ht="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</sheetData>
  <mergeCells count="4">
    <mergeCell ref="A1:H1"/>
    <mergeCell ref="A2:H2"/>
    <mergeCell ref="A3:H3"/>
    <mergeCell ref="A4:H4"/>
  </mergeCells>
  <pageMargins left="0.78749999999999998" right="0.78749999999999998" top="1.2749999999999999" bottom="1.05277777777778" header="0.78749999999999998" footer="0.78749999999999998"/>
  <pageSetup paperSize="9" orientation="portrait" useFirstPageNumber="1" horizontalDpi="300" verticalDpi="300" r:id="rId1"/>
  <headerFooter>
    <oddHeader>&amp;C&amp;"Times New Roman,Negrito"&amp;16LCF0510 Inventario Florestal - 2021 - Aula 11
&amp;"Times New Roman,Regular"&amp;12&amp;A</oddHeader>
    <oddFooter>&amp;C&amp;"Arial,Itálico"&amp;12 22/11/2021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zoomScaleNormal="100" workbookViewId="0">
      <selection sqref="A1:G1"/>
    </sheetView>
  </sheetViews>
  <sheetFormatPr defaultColWidth="11.5703125" defaultRowHeight="12.75" x14ac:dyDescent="0.2"/>
  <sheetData>
    <row r="1" spans="1:7" ht="23.65" customHeight="1" x14ac:dyDescent="0.2">
      <c r="A1" s="26" t="s">
        <v>7</v>
      </c>
      <c r="B1" s="26"/>
      <c r="C1" s="26"/>
      <c r="D1" s="26"/>
      <c r="E1" s="26"/>
      <c r="F1" s="26"/>
      <c r="G1" s="26"/>
    </row>
    <row r="2" spans="1:7" ht="23.65" customHeight="1" x14ac:dyDescent="0.2">
      <c r="A2" s="26" t="s">
        <v>8</v>
      </c>
      <c r="B2" s="26"/>
      <c r="C2" s="26"/>
      <c r="D2" s="26"/>
      <c r="E2" s="26"/>
      <c r="F2" s="26"/>
      <c r="G2" s="26"/>
    </row>
    <row r="3" spans="1:7" ht="23.65" customHeight="1" x14ac:dyDescent="0.2">
      <c r="A3" s="26" t="s">
        <v>9</v>
      </c>
      <c r="B3" s="26"/>
      <c r="C3" s="26"/>
      <c r="D3" s="26"/>
      <c r="E3" s="26"/>
      <c r="F3" s="26"/>
      <c r="G3" s="26"/>
    </row>
    <row r="5" spans="1:7" ht="38.25" x14ac:dyDescent="0.2">
      <c r="B5" s="1" t="s">
        <v>10</v>
      </c>
      <c r="C5" s="1" t="s">
        <v>11</v>
      </c>
      <c r="D5" s="1" t="s">
        <v>12</v>
      </c>
      <c r="E5" s="1" t="s">
        <v>13</v>
      </c>
    </row>
    <row r="6" spans="1:7" x14ac:dyDescent="0.2">
      <c r="B6" s="2">
        <v>105</v>
      </c>
      <c r="C6" s="2">
        <v>10386</v>
      </c>
      <c r="D6" s="2">
        <v>423.33</v>
      </c>
      <c r="E6" s="2">
        <v>26</v>
      </c>
    </row>
    <row r="7" spans="1:7" x14ac:dyDescent="0.2">
      <c r="B7" s="2">
        <v>172</v>
      </c>
      <c r="C7" s="2">
        <v>10269</v>
      </c>
      <c r="D7" s="2">
        <v>414.19</v>
      </c>
      <c r="E7" s="2">
        <v>15</v>
      </c>
    </row>
    <row r="8" spans="1:7" x14ac:dyDescent="0.2">
      <c r="B8" s="2">
        <v>2062</v>
      </c>
      <c r="C8" s="2">
        <v>36554</v>
      </c>
      <c r="D8" s="2">
        <v>1176.0999999999999</v>
      </c>
      <c r="E8" s="2">
        <v>30</v>
      </c>
    </row>
    <row r="9" spans="1:7" x14ac:dyDescent="0.2">
      <c r="B9" s="2">
        <v>26355</v>
      </c>
      <c r="C9" s="2">
        <v>12953</v>
      </c>
      <c r="D9" s="2">
        <v>450.73</v>
      </c>
      <c r="E9" s="2">
        <v>25</v>
      </c>
    </row>
    <row r="10" spans="1:7" x14ac:dyDescent="0.2">
      <c r="B10" s="2">
        <v>33592</v>
      </c>
      <c r="C10" s="2">
        <v>9393</v>
      </c>
      <c r="D10" s="2">
        <v>392.91</v>
      </c>
      <c r="E10" s="2">
        <v>19</v>
      </c>
    </row>
    <row r="11" spans="1:7" x14ac:dyDescent="0.2">
      <c r="B11" s="2">
        <v>43007</v>
      </c>
      <c r="C11" s="2">
        <v>24703</v>
      </c>
      <c r="D11" s="2">
        <v>662.95</v>
      </c>
      <c r="E11" s="2">
        <v>43</v>
      </c>
    </row>
    <row r="12" spans="1:7" x14ac:dyDescent="0.2">
      <c r="B12" s="2">
        <v>47173</v>
      </c>
      <c r="C12" s="2">
        <v>7205</v>
      </c>
      <c r="D12" s="2">
        <v>350.83</v>
      </c>
      <c r="E12" s="2">
        <v>13</v>
      </c>
    </row>
    <row r="13" spans="1:7" x14ac:dyDescent="0.2">
      <c r="B13" s="2">
        <v>47480</v>
      </c>
      <c r="C13" s="2">
        <v>16180</v>
      </c>
      <c r="D13" s="2">
        <v>520.92999999999995</v>
      </c>
      <c r="E13" s="2">
        <v>38</v>
      </c>
    </row>
    <row r="14" spans="1:7" x14ac:dyDescent="0.2">
      <c r="B14" s="2">
        <v>47510</v>
      </c>
      <c r="C14" s="2">
        <v>20592</v>
      </c>
      <c r="D14" s="2">
        <v>603.33000000000004</v>
      </c>
      <c r="E14" s="2">
        <v>18</v>
      </c>
    </row>
    <row r="15" spans="1:7" x14ac:dyDescent="0.2">
      <c r="B15" s="2">
        <v>47562</v>
      </c>
      <c r="C15" s="2">
        <v>23654</v>
      </c>
      <c r="D15" s="2">
        <v>624.5</v>
      </c>
      <c r="E15" s="2">
        <v>23</v>
      </c>
    </row>
    <row r="16" spans="1:7" x14ac:dyDescent="0.2">
      <c r="B16" s="2">
        <v>47622</v>
      </c>
      <c r="C16" s="2">
        <v>2826</v>
      </c>
      <c r="D16" s="2">
        <v>287.82</v>
      </c>
      <c r="E16" s="2">
        <v>4</v>
      </c>
    </row>
    <row r="17" spans="2:5" x14ac:dyDescent="0.2">
      <c r="B17" s="2">
        <v>47659</v>
      </c>
      <c r="C17" s="2">
        <v>11901</v>
      </c>
      <c r="D17" s="2">
        <v>545.79</v>
      </c>
      <c r="E17" s="2">
        <v>33</v>
      </c>
    </row>
    <row r="18" spans="2:5" x14ac:dyDescent="0.2">
      <c r="B18" s="2">
        <v>47661</v>
      </c>
      <c r="C18" s="2">
        <v>25829</v>
      </c>
      <c r="D18" s="2">
        <v>801.59</v>
      </c>
      <c r="E18" s="2">
        <v>31</v>
      </c>
    </row>
    <row r="19" spans="2:5" x14ac:dyDescent="0.2">
      <c r="B19" s="2">
        <v>47711</v>
      </c>
      <c r="C19" s="2">
        <v>17267</v>
      </c>
      <c r="D19" s="2">
        <v>540.29</v>
      </c>
      <c r="E19" s="2">
        <v>25</v>
      </c>
    </row>
    <row r="20" spans="2:5" x14ac:dyDescent="0.2">
      <c r="B20" s="2">
        <v>47940</v>
      </c>
      <c r="C20" s="2">
        <v>4229</v>
      </c>
      <c r="D20" s="2">
        <v>260.37</v>
      </c>
      <c r="E20" s="2">
        <v>19</v>
      </c>
    </row>
    <row r="21" spans="2:5" x14ac:dyDescent="0.2">
      <c r="B21" s="2">
        <v>47975</v>
      </c>
      <c r="C21" s="2">
        <v>23089</v>
      </c>
      <c r="D21" s="2">
        <v>616.09</v>
      </c>
      <c r="E21" s="2">
        <v>23</v>
      </c>
    </row>
    <row r="22" spans="2:5" x14ac:dyDescent="0.2">
      <c r="B22" s="2">
        <v>48025</v>
      </c>
      <c r="C22" s="2">
        <v>33590</v>
      </c>
      <c r="D22" s="2">
        <v>1050.74</v>
      </c>
      <c r="E22" s="2">
        <v>48</v>
      </c>
    </row>
    <row r="23" spans="2:5" x14ac:dyDescent="0.2">
      <c r="B23" s="2">
        <v>48128</v>
      </c>
      <c r="C23" s="2">
        <v>39634</v>
      </c>
      <c r="D23" s="2">
        <v>1379.03</v>
      </c>
      <c r="E23" s="2">
        <v>45</v>
      </c>
    </row>
    <row r="24" spans="2:5" x14ac:dyDescent="0.2">
      <c r="B24" s="2">
        <v>48143</v>
      </c>
      <c r="C24" s="2">
        <v>5559</v>
      </c>
      <c r="D24" s="2">
        <v>334.17</v>
      </c>
      <c r="E24" s="2">
        <v>11</v>
      </c>
    </row>
    <row r="25" spans="2:5" x14ac:dyDescent="0.2">
      <c r="B25" s="2">
        <v>48149</v>
      </c>
      <c r="C25" s="2">
        <v>27247</v>
      </c>
      <c r="D25" s="2">
        <v>678.04</v>
      </c>
      <c r="E25" s="2">
        <v>44</v>
      </c>
    </row>
    <row r="26" spans="2:5" x14ac:dyDescent="0.2">
      <c r="B26" s="2">
        <v>48211</v>
      </c>
      <c r="C26" s="2">
        <v>13460</v>
      </c>
      <c r="D26" s="2">
        <v>650.36</v>
      </c>
      <c r="E26" s="2">
        <v>13</v>
      </c>
    </row>
    <row r="27" spans="2:5" x14ac:dyDescent="0.2">
      <c r="B27" s="2">
        <v>48511</v>
      </c>
      <c r="C27" s="2">
        <v>3621</v>
      </c>
      <c r="D27" s="2">
        <v>368.33</v>
      </c>
      <c r="E27" s="2">
        <v>26</v>
      </c>
    </row>
    <row r="28" spans="2:5" x14ac:dyDescent="0.2">
      <c r="B28" s="2">
        <v>48523</v>
      </c>
      <c r="C28" s="2">
        <v>46159</v>
      </c>
      <c r="D28" s="2">
        <v>902.34</v>
      </c>
      <c r="E28" s="2">
        <v>98</v>
      </c>
    </row>
    <row r="29" spans="2:5" x14ac:dyDescent="0.2">
      <c r="B29" s="2">
        <v>48524</v>
      </c>
      <c r="C29" s="2">
        <v>18228</v>
      </c>
      <c r="D29" s="2">
        <v>534.6</v>
      </c>
      <c r="E29" s="2">
        <v>40</v>
      </c>
    </row>
    <row r="30" spans="2:5" x14ac:dyDescent="0.2">
      <c r="B30" s="2">
        <v>50018</v>
      </c>
      <c r="C30" s="2">
        <v>72805</v>
      </c>
      <c r="D30" s="2">
        <v>1200.6500000000001</v>
      </c>
      <c r="E30" s="2">
        <v>37</v>
      </c>
    </row>
    <row r="31" spans="2:5" x14ac:dyDescent="0.2">
      <c r="B31" s="2">
        <v>50061</v>
      </c>
      <c r="C31" s="2">
        <v>35011</v>
      </c>
      <c r="D31" s="2">
        <v>1077.53</v>
      </c>
      <c r="E31" s="2">
        <v>47</v>
      </c>
    </row>
    <row r="32" spans="2:5" x14ac:dyDescent="0.2">
      <c r="B32" s="2">
        <v>50372</v>
      </c>
      <c r="C32" s="2">
        <v>2554</v>
      </c>
      <c r="D32" s="2">
        <v>209.09</v>
      </c>
      <c r="E32" s="2">
        <v>8</v>
      </c>
    </row>
    <row r="33" spans="1:10" x14ac:dyDescent="0.2">
      <c r="B33" s="2">
        <v>52782</v>
      </c>
      <c r="C33" s="2">
        <v>25767</v>
      </c>
      <c r="D33" s="2">
        <v>913.88</v>
      </c>
      <c r="E33" s="2">
        <v>30</v>
      </c>
    </row>
    <row r="34" spans="1:10" x14ac:dyDescent="0.2">
      <c r="B34" s="2">
        <v>58477</v>
      </c>
      <c r="C34" s="2">
        <v>14367</v>
      </c>
      <c r="D34" s="2">
        <v>477.6</v>
      </c>
      <c r="E34" s="2">
        <v>47</v>
      </c>
    </row>
    <row r="35" spans="1:10" x14ac:dyDescent="0.2">
      <c r="B35" s="2">
        <v>59564</v>
      </c>
      <c r="C35" s="2">
        <v>10164</v>
      </c>
      <c r="D35" s="2">
        <v>502.3</v>
      </c>
      <c r="E35" s="2">
        <v>24</v>
      </c>
    </row>
    <row r="37" spans="1:10" x14ac:dyDescent="0.2">
      <c r="A37" t="s">
        <v>14</v>
      </c>
    </row>
    <row r="38" spans="1:10" x14ac:dyDescent="0.2">
      <c r="C38" s="12" t="s">
        <v>51</v>
      </c>
      <c r="D38" s="7">
        <v>275</v>
      </c>
    </row>
    <row r="39" spans="1:10" x14ac:dyDescent="0.2">
      <c r="C39" s="12" t="s">
        <v>50</v>
      </c>
      <c r="D39" s="7">
        <v>157907.9</v>
      </c>
    </row>
    <row r="40" spans="1:10" x14ac:dyDescent="0.2">
      <c r="C40" s="12" t="s">
        <v>52</v>
      </c>
      <c r="D40" s="7">
        <v>5079953</v>
      </c>
    </row>
    <row r="41" spans="1:10" x14ac:dyDescent="0.2">
      <c r="C41" s="12" t="s">
        <v>53</v>
      </c>
      <c r="D41" s="23">
        <f>D40/D38</f>
        <v>18472.556363636362</v>
      </c>
    </row>
    <row r="42" spans="1:10" x14ac:dyDescent="0.2">
      <c r="C42" s="12" t="s">
        <v>54</v>
      </c>
      <c r="D42" s="23">
        <f>D39/D38</f>
        <v>574.21054545454547</v>
      </c>
    </row>
    <row r="43" spans="1:10" x14ac:dyDescent="0.2">
      <c r="C43" s="12"/>
    </row>
    <row r="44" spans="1:10" ht="38.25" x14ac:dyDescent="0.2">
      <c r="C44" s="1" t="s">
        <v>11</v>
      </c>
      <c r="D44" s="1" t="s">
        <v>12</v>
      </c>
      <c r="I44" s="1" t="s">
        <v>11</v>
      </c>
      <c r="J44" s="1" t="s">
        <v>12</v>
      </c>
    </row>
    <row r="45" spans="1:10" ht="25.5" x14ac:dyDescent="0.2">
      <c r="B45" s="19" t="s">
        <v>46</v>
      </c>
      <c r="C45" s="17">
        <f>D38</f>
        <v>275</v>
      </c>
      <c r="D45" s="17">
        <f>D38</f>
        <v>275</v>
      </c>
      <c r="H45" s="1" t="s">
        <v>10</v>
      </c>
      <c r="I45" s="17" t="s">
        <v>49</v>
      </c>
      <c r="J45" s="17" t="s">
        <v>49</v>
      </c>
    </row>
    <row r="46" spans="1:10" x14ac:dyDescent="0.2">
      <c r="B46" s="9" t="s">
        <v>27</v>
      </c>
      <c r="C46" s="7">
        <f>COUNT(C6:C35)</f>
        <v>30</v>
      </c>
      <c r="D46" s="7">
        <f>COUNT(D6:D35)</f>
        <v>30</v>
      </c>
      <c r="H46" s="2">
        <v>105</v>
      </c>
      <c r="I46" s="3">
        <f t="shared" ref="I46:I75" si="0">($E6-C$50*C6)^2</f>
        <v>82.38453033846281</v>
      </c>
      <c r="J46" s="3">
        <f t="shared" ref="J46:J75" si="1">($E6-D$50*D6)^2</f>
        <v>14.509452342265675</v>
      </c>
    </row>
    <row r="47" spans="1:10" x14ac:dyDescent="0.2">
      <c r="B47" s="9" t="s">
        <v>28</v>
      </c>
      <c r="C47" s="6">
        <f>AVERAGE($E6:$E35)</f>
        <v>30.1</v>
      </c>
      <c r="D47" s="6">
        <f>AVERAGE($E6:$E35)</f>
        <v>30.1</v>
      </c>
      <c r="H47" s="2">
        <v>172</v>
      </c>
      <c r="I47" s="3">
        <f t="shared" si="0"/>
        <v>3.0024661814617719</v>
      </c>
      <c r="J47" s="3">
        <f t="shared" si="1"/>
        <v>45.047662629785641</v>
      </c>
    </row>
    <row r="48" spans="1:10" x14ac:dyDescent="0.2">
      <c r="B48" s="10" t="s">
        <v>29</v>
      </c>
      <c r="C48" s="6">
        <f>D41</f>
        <v>18472.556363636362</v>
      </c>
      <c r="D48" s="6">
        <f>D42</f>
        <v>574.21054545454547</v>
      </c>
      <c r="H48" s="2">
        <v>2062</v>
      </c>
      <c r="I48" s="3">
        <f t="shared" si="0"/>
        <v>873.95344599285477</v>
      </c>
      <c r="J48" s="3">
        <f t="shared" si="1"/>
        <v>1001.7809131253949</v>
      </c>
    </row>
    <row r="49" spans="2:10" x14ac:dyDescent="0.2">
      <c r="B49" s="9"/>
      <c r="C49" s="7"/>
      <c r="D49" s="7"/>
      <c r="H49" s="2">
        <v>26355</v>
      </c>
      <c r="I49" s="3">
        <f t="shared" si="0"/>
        <v>15.161749738061042</v>
      </c>
      <c r="J49" s="3">
        <f t="shared" si="1"/>
        <v>1.884648692450257</v>
      </c>
    </row>
    <row r="50" spans="2:10" x14ac:dyDescent="0.2">
      <c r="B50" s="9" t="s">
        <v>30</v>
      </c>
      <c r="C50" s="14">
        <f>C47/C48</f>
        <v>1.6294442094247725E-3</v>
      </c>
      <c r="D50" s="14">
        <f>D47/D48</f>
        <v>5.2419796602956537E-2</v>
      </c>
      <c r="H50" s="2">
        <v>33592</v>
      </c>
      <c r="I50" s="3">
        <f t="shared" si="0"/>
        <v>13.650294833552342</v>
      </c>
      <c r="J50" s="3">
        <f t="shared" si="1"/>
        <v>2.5480532769828699</v>
      </c>
    </row>
    <row r="51" spans="2:10" x14ac:dyDescent="0.2">
      <c r="B51" s="9"/>
      <c r="C51" s="7"/>
      <c r="D51" s="7"/>
      <c r="H51" s="2">
        <v>43007</v>
      </c>
      <c r="I51" s="3">
        <f t="shared" si="0"/>
        <v>7.5506229871086568</v>
      </c>
      <c r="J51" s="3">
        <f t="shared" si="1"/>
        <v>68.034384298308666</v>
      </c>
    </row>
    <row r="52" spans="2:10" x14ac:dyDescent="0.2">
      <c r="B52" s="9" t="s">
        <v>38</v>
      </c>
      <c r="C52" s="6">
        <f>SUM(I46:I75)/(C46-1)</f>
        <v>392.12322458926184</v>
      </c>
      <c r="D52" s="6">
        <f>SUM(J46:J75)/(D46-1)</f>
        <v>263.43521296404367</v>
      </c>
      <c r="H52" s="2">
        <v>47173</v>
      </c>
      <c r="I52" s="3">
        <f t="shared" si="0"/>
        <v>1.5872332883368361</v>
      </c>
      <c r="J52" s="3">
        <f t="shared" si="1"/>
        <v>29.056813662261064</v>
      </c>
    </row>
    <row r="53" spans="2:10" x14ac:dyDescent="0.2">
      <c r="B53" s="11"/>
      <c r="C53" s="3"/>
      <c r="D53" s="3"/>
      <c r="H53" s="2">
        <v>47480</v>
      </c>
      <c r="I53" s="3">
        <f t="shared" si="0"/>
        <v>135.38701728265534</v>
      </c>
      <c r="J53" s="3">
        <f t="shared" si="1"/>
        <v>114.33929423732211</v>
      </c>
    </row>
    <row r="54" spans="2:10" x14ac:dyDescent="0.2">
      <c r="B54" s="13" t="s">
        <v>39</v>
      </c>
      <c r="C54" s="18">
        <f>(1/C48)^2*(C52/C46)</f>
        <v>3.8304280577461853E-8</v>
      </c>
      <c r="D54" s="18">
        <f>(1/D48)^2*(D52/D46)</f>
        <v>2.6632396199032246E-5</v>
      </c>
      <c r="H54" s="2">
        <v>47510</v>
      </c>
      <c r="I54" s="3">
        <f t="shared" si="0"/>
        <v>241.91183384712306</v>
      </c>
      <c r="J54" s="3">
        <f t="shared" si="1"/>
        <v>185.67975491334744</v>
      </c>
    </row>
    <row r="55" spans="2:10" x14ac:dyDescent="0.2">
      <c r="B55" s="10"/>
      <c r="C55" s="7"/>
      <c r="D55" s="7"/>
      <c r="H55" s="2">
        <v>47562</v>
      </c>
      <c r="I55" s="3">
        <f t="shared" si="0"/>
        <v>241.580911344143</v>
      </c>
      <c r="J55" s="3">
        <f t="shared" si="1"/>
        <v>94.792869544816739</v>
      </c>
    </row>
    <row r="56" spans="2:10" x14ac:dyDescent="0.2">
      <c r="B56" s="10" t="s">
        <v>45</v>
      </c>
      <c r="C56" s="15">
        <f>_xlfn.T.INV(0.975,C46-1)</f>
        <v>2.0452296421327034</v>
      </c>
      <c r="D56" s="15">
        <f>_xlfn.T.INV(0.975,D46-1)</f>
        <v>2.0452296421327034</v>
      </c>
      <c r="H56" s="2">
        <v>47622</v>
      </c>
      <c r="I56" s="3">
        <f t="shared" si="0"/>
        <v>0.36579433271245637</v>
      </c>
      <c r="J56" s="3">
        <f t="shared" si="1"/>
        <v>122.93189915814658</v>
      </c>
    </row>
    <row r="57" spans="2:10" x14ac:dyDescent="0.2">
      <c r="B57" s="10"/>
      <c r="C57" s="7"/>
      <c r="D57" s="7"/>
      <c r="H57" s="2">
        <v>47659</v>
      </c>
      <c r="I57" s="3">
        <f t="shared" si="0"/>
        <v>185.17724116255278</v>
      </c>
      <c r="J57" s="3">
        <f t="shared" si="1"/>
        <v>19.270337122311062</v>
      </c>
    </row>
    <row r="58" spans="2:10" x14ac:dyDescent="0.2">
      <c r="B58" s="10" t="s">
        <v>41</v>
      </c>
      <c r="C58" s="7">
        <f>C56*SQRT(C54)</f>
        <v>4.0028169802476738E-4</v>
      </c>
      <c r="D58" s="7">
        <f>D56*SQRT(D54)</f>
        <v>1.0554731746122351E-2</v>
      </c>
      <c r="H58" s="2">
        <v>47661</v>
      </c>
      <c r="I58" s="3">
        <f t="shared" si="0"/>
        <v>122.91967280285708</v>
      </c>
      <c r="J58" s="3">
        <f t="shared" si="1"/>
        <v>121.42243275218298</v>
      </c>
    </row>
    <row r="59" spans="2:10" x14ac:dyDescent="0.2">
      <c r="B59" s="10" t="s">
        <v>42</v>
      </c>
      <c r="C59" s="15">
        <f>C58/C47*100</f>
        <v>1.3298395283214861E-3</v>
      </c>
      <c r="D59" s="15">
        <f>D58/D47*100</f>
        <v>3.5065553973828406E-2</v>
      </c>
      <c r="H59" s="2">
        <v>47711</v>
      </c>
      <c r="I59" s="3">
        <f t="shared" si="0"/>
        <v>9.8320699151126707</v>
      </c>
      <c r="J59" s="3">
        <f t="shared" si="1"/>
        <v>11.034965839210217</v>
      </c>
    </row>
    <row r="60" spans="2:10" x14ac:dyDescent="0.2">
      <c r="B60" s="10"/>
      <c r="C60" s="7"/>
      <c r="D60" s="7"/>
      <c r="H60" s="2">
        <v>47940</v>
      </c>
      <c r="I60" s="3">
        <f t="shared" si="0"/>
        <v>146.62982906225233</v>
      </c>
      <c r="J60" s="3">
        <f t="shared" si="1"/>
        <v>28.638098000300559</v>
      </c>
    </row>
    <row r="61" spans="2:10" x14ac:dyDescent="0.2">
      <c r="B61" s="10" t="s">
        <v>43</v>
      </c>
      <c r="C61" s="4">
        <v>5</v>
      </c>
      <c r="D61" s="4">
        <v>5</v>
      </c>
      <c r="H61" s="2">
        <v>47975</v>
      </c>
      <c r="I61" s="3">
        <f t="shared" si="0"/>
        <v>213.80982516092797</v>
      </c>
      <c r="J61" s="3">
        <f t="shared" si="1"/>
        <v>86.402834270306514</v>
      </c>
    </row>
    <row r="62" spans="2:10" x14ac:dyDescent="0.2">
      <c r="B62" s="12" t="s">
        <v>22</v>
      </c>
      <c r="C62" s="8">
        <f>SQRT(C52)/C50*100</f>
        <v>1215267.2306901298</v>
      </c>
      <c r="D62" s="8">
        <f>SQRT(D52)/D50*100</f>
        <v>30962.896531531642</v>
      </c>
      <c r="H62" s="2">
        <v>48025</v>
      </c>
      <c r="I62" s="3">
        <f t="shared" si="0"/>
        <v>45.333706373949468</v>
      </c>
      <c r="J62" s="3">
        <f t="shared" si="1"/>
        <v>50.120411668341376</v>
      </c>
    </row>
    <row r="63" spans="2:10" x14ac:dyDescent="0.2">
      <c r="H63" s="2">
        <v>48128</v>
      </c>
      <c r="I63" s="3">
        <f t="shared" si="0"/>
        <v>383.43090468182766</v>
      </c>
      <c r="J63" s="3">
        <f t="shared" si="1"/>
        <v>744.66071006414541</v>
      </c>
    </row>
    <row r="64" spans="2:10" x14ac:dyDescent="0.2">
      <c r="B64" s="4" t="s">
        <v>44</v>
      </c>
      <c r="C64" s="20" t="s">
        <v>24</v>
      </c>
      <c r="D64" s="4" t="s">
        <v>24</v>
      </c>
      <c r="E64" s="4" t="s">
        <v>44</v>
      </c>
      <c r="H64" s="2">
        <v>48143</v>
      </c>
      <c r="I64" s="3">
        <f t="shared" si="0"/>
        <v>3.7710518874708279</v>
      </c>
      <c r="J64" s="3">
        <f t="shared" si="1"/>
        <v>42.472897812412555</v>
      </c>
    </row>
    <row r="65" spans="2:10" x14ac:dyDescent="0.2">
      <c r="B65" s="6">
        <f>_xlfn.T.INV(0.975,C46-1)</f>
        <v>2.0452296421327034</v>
      </c>
      <c r="C65" s="21">
        <f>($D45*(B65*C$62)^2)/($D45*C$61^2+(B65*C$62)^2)</f>
        <v>274.99999969396038</v>
      </c>
      <c r="D65" s="16">
        <f>($D$45*(E65*D$62)^2)/($D$45*D$61^2+(E65*D$62)^2)</f>
        <v>274.99952854816348</v>
      </c>
      <c r="E65" s="6">
        <f>_xlfn.T.INV(0.975,D46-1)</f>
        <v>2.0452296421327034</v>
      </c>
      <c r="H65" s="2">
        <v>48149</v>
      </c>
      <c r="I65" s="3">
        <f t="shared" si="0"/>
        <v>0.15797951861713042</v>
      </c>
      <c r="J65" s="3">
        <f t="shared" si="1"/>
        <v>71.525603796082123</v>
      </c>
    </row>
    <row r="66" spans="2:10" x14ac:dyDescent="0.2">
      <c r="B66" s="6">
        <f>_xlfn.T.INV(0.975,C65-1)</f>
        <v>1.9686916197953008</v>
      </c>
      <c r="C66" s="21">
        <f>(D45*(B66*C$62)^2)/(D45*C$61^2+(B66*C$62)^2)</f>
        <v>274.99999966970159</v>
      </c>
      <c r="D66" s="16">
        <f>($D$45*(E66*D$62)^2)/($D$45*D$61^2+(E66*D$62)^2)</f>
        <v>274.99949117780801</v>
      </c>
      <c r="E66" s="6">
        <f>_xlfn.T.INV(0.975,D65-1)</f>
        <v>1.9686916197953008</v>
      </c>
      <c r="H66" s="2">
        <v>48211</v>
      </c>
      <c r="I66" s="3">
        <f t="shared" si="0"/>
        <v>79.78632376922782</v>
      </c>
      <c r="J66" s="3">
        <f t="shared" si="1"/>
        <v>444.86145061455431</v>
      </c>
    </row>
    <row r="67" spans="2:10" x14ac:dyDescent="0.2">
      <c r="B67" s="6">
        <f>_xlfn.T.INV(0.975,C66-1)</f>
        <v>1.9686916197953008</v>
      </c>
      <c r="C67" s="25">
        <f>(D$45*(B67*C$62)^2)/(D$45*C$61^2+(B67*C$62)^2)</f>
        <v>274.99999966970159</v>
      </c>
      <c r="D67" s="24">
        <f>($D$45*(E67*D$62)^2)/($D$45*D$61^2+(E67*D$62)^2)</f>
        <v>274.99949117780801</v>
      </c>
      <c r="E67" s="6">
        <f>_xlfn.T.INV(0.975,D66-1)</f>
        <v>1.9686916197953008</v>
      </c>
      <c r="H67" s="2">
        <v>48511</v>
      </c>
      <c r="I67" s="3">
        <f t="shared" si="0"/>
        <v>404.0012572577491</v>
      </c>
      <c r="J67" s="3">
        <f t="shared" si="1"/>
        <v>44.785759236639869</v>
      </c>
    </row>
    <row r="68" spans="2:10" x14ac:dyDescent="0.2">
      <c r="H68" s="2">
        <v>48523</v>
      </c>
      <c r="I68" s="3">
        <f t="shared" si="0"/>
        <v>519.22388667691348</v>
      </c>
      <c r="J68" s="3">
        <f t="shared" si="1"/>
        <v>2570.4414025851197</v>
      </c>
    </row>
    <row r="69" spans="2:10" x14ac:dyDescent="0.2">
      <c r="H69" s="2">
        <v>48524</v>
      </c>
      <c r="I69" s="3">
        <f t="shared" si="0"/>
        <v>106.05891585969813</v>
      </c>
      <c r="J69" s="3">
        <f t="shared" si="1"/>
        <v>143.43359972402567</v>
      </c>
    </row>
    <row r="70" spans="2:10" x14ac:dyDescent="0.2">
      <c r="B70" s="12" t="s">
        <v>47</v>
      </c>
      <c r="C70" s="5">
        <f>C45*C50</f>
        <v>0.44809715759181246</v>
      </c>
      <c r="D70" s="5">
        <f>D45*D50</f>
        <v>14.415444065813048</v>
      </c>
      <c r="H70" s="2">
        <v>50018</v>
      </c>
      <c r="I70" s="3">
        <f t="shared" si="0"/>
        <v>6663.7321048637396</v>
      </c>
      <c r="J70" s="3">
        <f t="shared" si="1"/>
        <v>672.77096240885419</v>
      </c>
    </row>
    <row r="71" spans="2:10" x14ac:dyDescent="0.2">
      <c r="B71" s="12" t="s">
        <v>48</v>
      </c>
      <c r="C71" s="22">
        <f>C54*(C70)^2</f>
        <v>7.6911572008805864E-9</v>
      </c>
      <c r="D71" s="22">
        <f>D54*(D70)^2</f>
        <v>5.5343458275824544E-3</v>
      </c>
      <c r="H71" s="2">
        <v>50061</v>
      </c>
      <c r="I71" s="3">
        <f t="shared" si="0"/>
        <v>100.97177378221129</v>
      </c>
      <c r="J71" s="3">
        <f t="shared" si="1"/>
        <v>89.944424337541747</v>
      </c>
    </row>
    <row r="72" spans="2:10" x14ac:dyDescent="0.2">
      <c r="B72" s="12"/>
      <c r="H72" s="2">
        <v>50372</v>
      </c>
      <c r="I72" s="3">
        <f t="shared" si="0"/>
        <v>14.733310638146772</v>
      </c>
      <c r="J72" s="3">
        <f t="shared" si="1"/>
        <v>8.7642954158084549</v>
      </c>
    </row>
    <row r="73" spans="2:10" x14ac:dyDescent="0.2">
      <c r="B73" s="12" t="s">
        <v>41</v>
      </c>
      <c r="C73" s="3">
        <f>C56*SQRT(C71)</f>
        <v>1.7936509112092248E-4</v>
      </c>
      <c r="D73" s="3">
        <f>D56*SQRT(D71)</f>
        <v>0.15215114511588806</v>
      </c>
      <c r="H73" s="2">
        <v>52782</v>
      </c>
      <c r="I73" s="3">
        <f t="shared" si="0"/>
        <v>143.66153378384908</v>
      </c>
      <c r="J73" s="3">
        <f t="shared" si="1"/>
        <v>320.60348235863967</v>
      </c>
    </row>
    <row r="74" spans="2:10" x14ac:dyDescent="0.2">
      <c r="B74" s="12" t="s">
        <v>42</v>
      </c>
      <c r="C74" s="3">
        <f>C73/C47*100</f>
        <v>5.9589731269409465E-4</v>
      </c>
      <c r="D74" s="3">
        <f>D73/D47*100</f>
        <v>0.50548553194647194</v>
      </c>
      <c r="H74" s="2">
        <v>58477</v>
      </c>
      <c r="I74" s="3">
        <f t="shared" si="0"/>
        <v>556.47748658851231</v>
      </c>
      <c r="J74" s="3">
        <f t="shared" si="1"/>
        <v>482.43070038968722</v>
      </c>
    </row>
    <row r="75" spans="2:10" x14ac:dyDescent="0.2">
      <c r="B75" s="12"/>
      <c r="H75" s="2">
        <v>59564</v>
      </c>
      <c r="I75" s="3">
        <f t="shared" si="0"/>
        <v>55.328739136506222</v>
      </c>
      <c r="J75" s="3">
        <f t="shared" si="1"/>
        <v>5.4310616800208837</v>
      </c>
    </row>
    <row r="76" spans="2:10" x14ac:dyDescent="0.2">
      <c r="B76" s="12"/>
    </row>
  </sheetData>
  <mergeCells count="3">
    <mergeCell ref="A1:G1"/>
    <mergeCell ref="A2:G2"/>
    <mergeCell ref="A3:G3"/>
  </mergeCells>
  <pageMargins left="0.78749999999999998" right="0.78749999999999998" top="1.2749999999999999" bottom="1.05277777777778" header="0.78749999999999998" footer="0.78749999999999998"/>
  <pageSetup paperSize="9" firstPageNumber="0" orientation="portrait" horizontalDpi="300" verticalDpi="300"/>
  <headerFooter>
    <oddHeader>&amp;C&amp;"Times New Roman,Negrito"&amp;16LCF0510 Inventario Florestal - 2021 - Aula 11
&amp;"Times New Roman,Regular"&amp;12&amp;A</oddHeader>
    <oddFooter>&amp;C&amp;"Times New Roman,Itálico"&amp;12 22/11/2021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Exercício 1 - Levantamento em F</vt:lpstr>
      <vt:lpstr>Exercício 2 - Inventário Urbano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</dc:creator>
  <dc:description/>
  <cp:lastModifiedBy>João Pedro V. Pereir</cp:lastModifiedBy>
  <cp:revision>23</cp:revision>
  <dcterms:created xsi:type="dcterms:W3CDTF">2021-11-27T01:34:10Z</dcterms:created>
  <dcterms:modified xsi:type="dcterms:W3CDTF">2021-12-13T13:13:23Z</dcterms:modified>
  <dc:language>pt-BR</dc:language>
</cp:coreProperties>
</file>