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8e50d36d5311c9/Documents/Graduação/Inventário Florestal/"/>
    </mc:Choice>
  </mc:AlternateContent>
  <xr:revisionPtr revIDLastSave="124" documentId="8_{E6295350-6016-49CA-B272-5D1090794FE4}" xr6:coauthVersionLast="47" xr6:coauthVersionMax="47" xr10:uidLastSave="{241A61C6-4F61-4FAE-A574-A27A80D4CB06}"/>
  <bookViews>
    <workbookView xWindow="-90" yWindow="-90" windowWidth="19380" windowHeight="12180" xr2:uid="{06402E52-D15F-4E34-A05F-FF68130BFF0E}"/>
  </bookViews>
  <sheets>
    <sheet name="Ex.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78" i="1" l="1"/>
  <c r="AA75" i="1"/>
  <c r="AA72" i="1"/>
  <c r="W78" i="1"/>
  <c r="W75" i="1"/>
  <c r="W72" i="1"/>
  <c r="Q74" i="1"/>
  <c r="P68" i="1"/>
  <c r="P67" i="1"/>
  <c r="P66" i="1"/>
  <c r="P65" i="1"/>
  <c r="Q65" i="1" s="1"/>
  <c r="O68" i="1"/>
  <c r="O67" i="1"/>
  <c r="O66" i="1"/>
  <c r="O65" i="1"/>
  <c r="V65" i="1" s="1"/>
  <c r="X65" i="1" s="1"/>
  <c r="M69" i="1"/>
  <c r="Y68" i="1"/>
  <c r="K68" i="1"/>
  <c r="L68" i="1" s="1"/>
  <c r="Y67" i="1"/>
  <c r="Q67" i="1"/>
  <c r="N67" i="1"/>
  <c r="L67" i="1"/>
  <c r="W67" i="1" s="1"/>
  <c r="K67" i="1"/>
  <c r="Y66" i="1"/>
  <c r="W66" i="1"/>
  <c r="V66" i="1"/>
  <c r="X66" i="1" s="1"/>
  <c r="Q66" i="1"/>
  <c r="N66" i="1"/>
  <c r="S66" i="1" s="1"/>
  <c r="T66" i="1" s="1"/>
  <c r="U66" i="1" s="1"/>
  <c r="L66" i="1"/>
  <c r="K66" i="1"/>
  <c r="Y65" i="1"/>
  <c r="N65" i="1"/>
  <c r="L65" i="1"/>
  <c r="K65" i="1"/>
  <c r="K69" i="1" s="1"/>
  <c r="AA61" i="1"/>
  <c r="AA58" i="1"/>
  <c r="AA55" i="1"/>
  <c r="Q57" i="1"/>
  <c r="AA44" i="1"/>
  <c r="AA41" i="1"/>
  <c r="AA38" i="1"/>
  <c r="W38" i="1"/>
  <c r="AA48" i="1"/>
  <c r="Q54" i="1"/>
  <c r="S32" i="1"/>
  <c r="S33" i="1"/>
  <c r="S34" i="1"/>
  <c r="S31" i="1"/>
  <c r="S49" i="1"/>
  <c r="S50" i="1"/>
  <c r="S51" i="1"/>
  <c r="S48" i="1"/>
  <c r="S15" i="1"/>
  <c r="S16" i="1"/>
  <c r="S17" i="1"/>
  <c r="S14" i="1"/>
  <c r="R48" i="1"/>
  <c r="Q48" i="1"/>
  <c r="P51" i="1"/>
  <c r="V51" i="1" s="1"/>
  <c r="X51" i="1" s="1"/>
  <c r="P50" i="1"/>
  <c r="V50" i="1" s="1"/>
  <c r="X50" i="1" s="1"/>
  <c r="P49" i="1"/>
  <c r="Q49" i="1" s="1"/>
  <c r="O51" i="1"/>
  <c r="O50" i="1"/>
  <c r="P48" i="1"/>
  <c r="O49" i="1"/>
  <c r="O48" i="1"/>
  <c r="M52" i="1"/>
  <c r="L51" i="1"/>
  <c r="W51" i="1" s="1"/>
  <c r="K51" i="1"/>
  <c r="Y51" i="1" s="1"/>
  <c r="L50" i="1"/>
  <c r="K50" i="1"/>
  <c r="Y50" i="1" s="1"/>
  <c r="L49" i="1"/>
  <c r="R49" i="1" s="1"/>
  <c r="K49" i="1"/>
  <c r="Y49" i="1" s="1"/>
  <c r="L48" i="1"/>
  <c r="K48" i="1"/>
  <c r="K52" i="1" s="1"/>
  <c r="N31" i="1"/>
  <c r="Y31" i="1"/>
  <c r="X31" i="1"/>
  <c r="W31" i="1"/>
  <c r="V32" i="1"/>
  <c r="V33" i="1"/>
  <c r="V34" i="1"/>
  <c r="V31" i="1"/>
  <c r="V15" i="1"/>
  <c r="V16" i="1"/>
  <c r="V17" i="1"/>
  <c r="V14" i="1"/>
  <c r="V68" i="1" l="1"/>
  <c r="X68" i="1" s="1"/>
  <c r="AA68" i="1" s="1"/>
  <c r="V67" i="1"/>
  <c r="X67" i="1" s="1"/>
  <c r="Z67" i="1" s="1"/>
  <c r="S67" i="1"/>
  <c r="T67" i="1" s="1"/>
  <c r="U67" i="1" s="1"/>
  <c r="AA66" i="1"/>
  <c r="Z66" i="1"/>
  <c r="S65" i="1"/>
  <c r="R68" i="1"/>
  <c r="W68" i="1"/>
  <c r="N68" i="1"/>
  <c r="S68" i="1" s="1"/>
  <c r="T68" i="1" s="1"/>
  <c r="U68" i="1" s="1"/>
  <c r="Q68" i="1"/>
  <c r="Q69" i="1" s="1"/>
  <c r="T65" i="1"/>
  <c r="U65" i="1" s="1"/>
  <c r="L69" i="1"/>
  <c r="AA71" i="1"/>
  <c r="AA73" i="1" s="1"/>
  <c r="AA74" i="1" s="1"/>
  <c r="AA76" i="1" s="1"/>
  <c r="AA77" i="1" s="1"/>
  <c r="AA79" i="1" s="1"/>
  <c r="R65" i="1"/>
  <c r="W71" i="1"/>
  <c r="R66" i="1"/>
  <c r="R67" i="1"/>
  <c r="AA65" i="1"/>
  <c r="W65" i="1"/>
  <c r="Z65" i="1" s="1"/>
  <c r="Q51" i="1"/>
  <c r="Q50" i="1"/>
  <c r="V49" i="1"/>
  <c r="X49" i="1" s="1"/>
  <c r="V48" i="1"/>
  <c r="X48" i="1" s="1"/>
  <c r="Q52" i="1"/>
  <c r="AA50" i="1"/>
  <c r="Z51" i="1"/>
  <c r="L52" i="1"/>
  <c r="N49" i="1"/>
  <c r="T49" i="1" s="1"/>
  <c r="U49" i="1" s="1"/>
  <c r="N50" i="1"/>
  <c r="T50" i="1" s="1"/>
  <c r="U50" i="1" s="1"/>
  <c r="N51" i="1"/>
  <c r="T51" i="1" s="1"/>
  <c r="U51" i="1" s="1"/>
  <c r="W49" i="1"/>
  <c r="Z49" i="1" s="1"/>
  <c r="W50" i="1"/>
  <c r="Z50" i="1" s="1"/>
  <c r="W54" i="1"/>
  <c r="AA54" i="1"/>
  <c r="AA56" i="1" s="1"/>
  <c r="AA57" i="1" s="1"/>
  <c r="AA59" i="1" s="1"/>
  <c r="AA60" i="1" s="1"/>
  <c r="AA62" i="1" s="1"/>
  <c r="Y48" i="1"/>
  <c r="N48" i="1"/>
  <c r="W48" i="1"/>
  <c r="R50" i="1"/>
  <c r="R51" i="1"/>
  <c r="AA49" i="1"/>
  <c r="AA51" i="1"/>
  <c r="Q71" i="1" l="1"/>
  <c r="Z68" i="1"/>
  <c r="AA69" i="1"/>
  <c r="AA67" i="1"/>
  <c r="U69" i="1"/>
  <c r="Z69" i="1"/>
  <c r="S69" i="1"/>
  <c r="S71" i="1" s="1"/>
  <c r="Q73" i="1" s="1"/>
  <c r="R69" i="1"/>
  <c r="Q72" i="1" s="1"/>
  <c r="Q75" i="1" s="1"/>
  <c r="Q76" i="1" s="1"/>
  <c r="W55" i="1"/>
  <c r="W56" i="1" s="1"/>
  <c r="W57" i="1" s="1"/>
  <c r="R52" i="1"/>
  <c r="Q55" i="1" s="1"/>
  <c r="Q58" i="1" s="1"/>
  <c r="Q59" i="1" s="1"/>
  <c r="Z48" i="1"/>
  <c r="Z52" i="1" s="1"/>
  <c r="AA52" i="1"/>
  <c r="T48" i="1"/>
  <c r="U48" i="1" s="1"/>
  <c r="U52" i="1" s="1"/>
  <c r="S52" i="1"/>
  <c r="S54" i="1" s="1"/>
  <c r="Q56" i="1" s="1"/>
  <c r="W58" i="1" l="1"/>
  <c r="W59" i="1" s="1"/>
  <c r="W60" i="1" s="1"/>
  <c r="W61" i="1" l="1"/>
  <c r="W62" i="1" s="1"/>
  <c r="X14" i="1" l="1"/>
  <c r="P34" i="1"/>
  <c r="Q34" i="1" s="1"/>
  <c r="P33" i="1"/>
  <c r="P32" i="1"/>
  <c r="Q32" i="1" s="1"/>
  <c r="P31" i="1"/>
  <c r="O34" i="1"/>
  <c r="O33" i="1"/>
  <c r="O32" i="1"/>
  <c r="O31" i="1"/>
  <c r="Q40" i="1"/>
  <c r="W37" i="1" s="1"/>
  <c r="M35" i="1"/>
  <c r="K34" i="1"/>
  <c r="L34" i="1" s="1"/>
  <c r="K33" i="1"/>
  <c r="L33" i="1" s="1"/>
  <c r="K32" i="1"/>
  <c r="L32" i="1" s="1"/>
  <c r="K31" i="1"/>
  <c r="L31" i="1" s="1"/>
  <c r="L15" i="1"/>
  <c r="R15" i="1" s="1"/>
  <c r="L16" i="1"/>
  <c r="R16" i="1" s="1"/>
  <c r="L17" i="1"/>
  <c r="L14" i="1"/>
  <c r="K17" i="1"/>
  <c r="K16" i="1"/>
  <c r="K15" i="1"/>
  <c r="K14" i="1"/>
  <c r="AA20" i="1"/>
  <c r="W20" i="1"/>
  <c r="Q23" i="1"/>
  <c r="M18" i="1"/>
  <c r="P17" i="1"/>
  <c r="P16" i="1"/>
  <c r="P15" i="1"/>
  <c r="P14" i="1"/>
  <c r="O17" i="1"/>
  <c r="O16" i="1"/>
  <c r="O15" i="1"/>
  <c r="O14" i="1"/>
  <c r="X16" i="1" l="1"/>
  <c r="AA16" i="1" s="1"/>
  <c r="X15" i="1"/>
  <c r="AA15" i="1" s="1"/>
  <c r="X17" i="1"/>
  <c r="AA17" i="1" s="1"/>
  <c r="AA14" i="1"/>
  <c r="X34" i="1"/>
  <c r="X33" i="1"/>
  <c r="AA33" i="1" s="1"/>
  <c r="X32" i="1"/>
  <c r="AA32" i="1" s="1"/>
  <c r="L35" i="1"/>
  <c r="R31" i="1"/>
  <c r="Q33" i="1"/>
  <c r="W33" i="1"/>
  <c r="N33" i="1"/>
  <c r="T33" i="1" s="1"/>
  <c r="U33" i="1" s="1"/>
  <c r="R33" i="1"/>
  <c r="Q31" i="1"/>
  <c r="W32" i="1"/>
  <c r="N32" i="1"/>
  <c r="T32" i="1" s="1"/>
  <c r="U32" i="1" s="1"/>
  <c r="R32" i="1"/>
  <c r="AA34" i="1"/>
  <c r="N34" i="1"/>
  <c r="T34" i="1" s="1"/>
  <c r="U34" i="1" s="1"/>
  <c r="R34" i="1"/>
  <c r="W34" i="1"/>
  <c r="AA37" i="1"/>
  <c r="Y32" i="1"/>
  <c r="Y33" i="1"/>
  <c r="Y34" i="1"/>
  <c r="K35" i="1"/>
  <c r="R17" i="1"/>
  <c r="W17" i="1"/>
  <c r="Q17" i="1"/>
  <c r="W14" i="1"/>
  <c r="L18" i="1"/>
  <c r="K18" i="1"/>
  <c r="Y15" i="1" s="1"/>
  <c r="Y17" i="1"/>
  <c r="Q16" i="1"/>
  <c r="Q15" i="1"/>
  <c r="W16" i="1"/>
  <c r="N14" i="1"/>
  <c r="R14" i="1"/>
  <c r="W15" i="1"/>
  <c r="N17" i="1"/>
  <c r="T17" i="1" s="1"/>
  <c r="U17" i="1" s="1"/>
  <c r="N16" i="1"/>
  <c r="T16" i="1" s="1"/>
  <c r="U16" i="1" s="1"/>
  <c r="N15" i="1"/>
  <c r="T15" i="1" s="1"/>
  <c r="U15" i="1" s="1"/>
  <c r="Q14" i="1"/>
  <c r="AA31" i="1" l="1"/>
  <c r="AA35" i="1" s="1"/>
  <c r="Z31" i="1"/>
  <c r="Z17" i="1"/>
  <c r="AA18" i="1"/>
  <c r="Z15" i="1"/>
  <c r="Z33" i="1"/>
  <c r="Z32" i="1"/>
  <c r="T31" i="1"/>
  <c r="U31" i="1" s="1"/>
  <c r="U35" i="1" s="1"/>
  <c r="S35" i="1"/>
  <c r="S37" i="1" s="1"/>
  <c r="R35" i="1"/>
  <c r="Q38" i="1" s="1"/>
  <c r="Q41" i="1" s="1"/>
  <c r="Z34" i="1"/>
  <c r="Q35" i="1"/>
  <c r="Q37" i="1" s="1"/>
  <c r="R18" i="1"/>
  <c r="Q21" i="1" s="1"/>
  <c r="Q24" i="1" s="1"/>
  <c r="Q25" i="1" s="1"/>
  <c r="Q18" i="1"/>
  <c r="Q20" i="1" s="1"/>
  <c r="Y14" i="1"/>
  <c r="Z14" i="1" s="1"/>
  <c r="Y16" i="1"/>
  <c r="Z16" i="1" s="1"/>
  <c r="T14" i="1"/>
  <c r="U14" i="1" s="1"/>
  <c r="U18" i="1" s="1"/>
  <c r="S18" i="1"/>
  <c r="S20" i="1" s="1"/>
  <c r="Z35" i="1" l="1"/>
  <c r="W39" i="1" s="1"/>
  <c r="W40" i="1" s="1"/>
  <c r="W41" i="1" s="1"/>
  <c r="Q42" i="1"/>
  <c r="Q39" i="1"/>
  <c r="Z18" i="1"/>
  <c r="Q22" i="1"/>
  <c r="AA39" i="1" l="1"/>
  <c r="AA40" i="1" s="1"/>
  <c r="AA42" i="1" s="1"/>
  <c r="AA43" i="1" s="1"/>
  <c r="W42" i="1"/>
  <c r="W43" i="1" s="1"/>
  <c r="AA21" i="1"/>
  <c r="AA22" i="1" s="1"/>
  <c r="AA23" i="1" s="1"/>
  <c r="AA24" i="1" s="1"/>
  <c r="AA25" i="1" s="1"/>
  <c r="AA26" i="1" s="1"/>
  <c r="AA27" i="1" s="1"/>
  <c r="AA28" i="1" s="1"/>
  <c r="W21" i="1"/>
  <c r="W22" i="1" s="1"/>
  <c r="W23" i="1" s="1"/>
  <c r="W24" i="1" s="1"/>
  <c r="W25" i="1" s="1"/>
  <c r="W26" i="1" s="1"/>
  <c r="W27" i="1" s="1"/>
  <c r="W28" i="1" s="1"/>
  <c r="AA45" i="1" l="1"/>
  <c r="W44" i="1"/>
  <c r="W45" i="1" s="1"/>
  <c r="W73" i="1" l="1"/>
  <c r="W74" i="1" s="1"/>
  <c r="W76" i="1" s="1"/>
  <c r="W77" i="1" s="1"/>
  <c r="W79" i="1" s="1"/>
</calcChain>
</file>

<file path=xl/sharedStrings.xml><?xml version="1.0" encoding="utf-8"?>
<sst xmlns="http://schemas.openxmlformats.org/spreadsheetml/2006/main" count="236" uniqueCount="62">
  <si>
    <t>A tabela abaixo apresenta os dados de um levantamento do palmiteiro juçara (Euterpe edulis – Arecaceae) na região do Vale do Ribeira, Estado de São Paulo.</t>
  </si>
  <si>
    <t>O exemplo é composto de 34 arvoredos (parcelas de 1600m2) locados no campo segundo a amostragem estratificada.</t>
  </si>
  <si>
    <t>Em cada um dos quatro estratos, realizou-se uma amostragem aleatória simples.</t>
  </si>
  <si>
    <t>A área basal e os DAP médio e médio quadrático se referem apenas às plantas do palmiteiro juçara.</t>
  </si>
  <si>
    <t>1) Econtre o invervalo de confiança de 95% para a MÉDIA POPULACIONAL dos atributos.</t>
  </si>
  <si>
    <t>2) Encontre o tamanho de amostra necessária para erro amostral aceitável de 10% para cada um dos atributos</t>
  </si>
  <si>
    <t>3) Encontre o tamanho de amostra necessária para erro amostral aceitável de 5% para cada um dos atributos</t>
  </si>
  <si>
    <t>4) Compare a precisão da Amostragem Estratificada com a da Amostragem Aleatória Simples (Exercício Aula 8).</t>
  </si>
  <si>
    <t>Estrato</t>
  </si>
  <si>
    <t>Parcela</t>
  </si>
  <si>
    <t>Área</t>
  </si>
  <si>
    <t>(ha)</t>
  </si>
  <si>
    <t>(1/ha)</t>
  </si>
  <si>
    <t>(m2/ha)</t>
  </si>
  <si>
    <t>(cm)</t>
  </si>
  <si>
    <t>I</t>
  </si>
  <si>
    <t>II</t>
  </si>
  <si>
    <t>III</t>
  </si>
  <si>
    <t>IV</t>
  </si>
  <si>
    <t>Total</t>
  </si>
  <si>
    <t>Estrato I</t>
  </si>
  <si>
    <t>Estrato II</t>
  </si>
  <si>
    <t>Estrato III</t>
  </si>
  <si>
    <t>Estrato IV</t>
  </si>
  <si>
    <t>N</t>
  </si>
  <si>
    <t>n</t>
  </si>
  <si>
    <t>a</t>
  </si>
  <si>
    <t>Variância</t>
  </si>
  <si>
    <t>Área do Estrato</t>
  </si>
  <si>
    <t>Número de Palmiteiros</t>
  </si>
  <si>
    <t>Área Basal</t>
  </si>
  <si>
    <t>DAP Médio</t>
  </si>
  <si>
    <t>DAP médio quad.</t>
  </si>
  <si>
    <t>Var. (total)</t>
  </si>
  <si>
    <t>a * s²</t>
  </si>
  <si>
    <t>(a*s²)²</t>
  </si>
  <si>
    <t>(a*s²)²/(n-1)</t>
  </si>
  <si>
    <t>V%</t>
  </si>
  <si>
    <t>N²</t>
  </si>
  <si>
    <t>V%²</t>
  </si>
  <si>
    <t>W</t>
  </si>
  <si>
    <t>N² * V%² /W</t>
  </si>
  <si>
    <t>N * V%²</t>
  </si>
  <si>
    <t>Parcelas</t>
  </si>
  <si>
    <t>m²</t>
  </si>
  <si>
    <t>Média densidade</t>
  </si>
  <si>
    <t>Média densidade * N</t>
  </si>
  <si>
    <t>Média</t>
  </si>
  <si>
    <t>I.C. 95%</t>
  </si>
  <si>
    <t>I.C. %</t>
  </si>
  <si>
    <t>Var. média</t>
  </si>
  <si>
    <t>Tam. Efetivo</t>
  </si>
  <si>
    <t>(soma de a * s² )^2</t>
  </si>
  <si>
    <t>T stud.</t>
  </si>
  <si>
    <t>Soma</t>
  </si>
  <si>
    <t>n =</t>
  </si>
  <si>
    <t>t student =</t>
  </si>
  <si>
    <t>n arred. =</t>
  </si>
  <si>
    <t>Erro de 10%</t>
  </si>
  <si>
    <t>Erro de 5%</t>
  </si>
  <si>
    <t>Densidade de estande</t>
  </si>
  <si>
    <t>DAP Médio Quadrático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</si>
</sst>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.0000"/>
    <numFmt numFmtId="170" formatCode="0.000"/>
    <numFmt numFmtId="182" formatCode="0.000E+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8" tint="-0.249977111117893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2" fillId="0" borderId="0" xfId="2" applyFont="1" applyBorder="1" applyAlignment="1">
      <alignment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0" xfId="2"/>
    <xf numFmtId="0" fontId="3" fillId="0" borderId="0" xfId="2" applyFont="1" applyAlignment="1">
      <alignment horizontal="center"/>
    </xf>
    <xf numFmtId="0" fontId="2" fillId="0" borderId="0" xfId="2" applyAlignment="1">
      <alignment horizontal="center"/>
    </xf>
    <xf numFmtId="2" fontId="2" fillId="0" borderId="0" xfId="2" applyNumberFormat="1" applyAlignment="1">
      <alignment horizontal="center"/>
    </xf>
    <xf numFmtId="0" fontId="2" fillId="0" borderId="2" xfId="2" applyBorder="1" applyAlignment="1">
      <alignment horizontal="center"/>
    </xf>
    <xf numFmtId="0" fontId="3" fillId="0" borderId="2" xfId="2" applyFont="1" applyBorder="1" applyAlignment="1">
      <alignment horizontal="center"/>
    </xf>
    <xf numFmtId="2" fontId="2" fillId="0" borderId="2" xfId="2" applyNumberForma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2" fillId="0" borderId="0" xfId="2" applyBorder="1" applyAlignment="1">
      <alignment horizontal="center"/>
    </xf>
    <xf numFmtId="2" fontId="2" fillId="0" borderId="0" xfId="2" applyNumberFormat="1" applyBorder="1" applyAlignment="1">
      <alignment horizontal="center"/>
    </xf>
    <xf numFmtId="0" fontId="2" fillId="0" borderId="2" xfId="2" applyBorder="1"/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5" fillId="0" borderId="0" xfId="0" applyFont="1"/>
    <xf numFmtId="168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/>
    <xf numFmtId="0" fontId="4" fillId="0" borderId="0" xfId="2" applyFont="1" applyFill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4" fillId="0" borderId="2" xfId="2" applyFont="1" applyFill="1" applyBorder="1" applyAlignment="1">
      <alignment horizont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/>
    <xf numFmtId="170" fontId="5" fillId="0" borderId="0" xfId="0" applyNumberFormat="1" applyFont="1"/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/>
    </xf>
    <xf numFmtId="170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170" fontId="5" fillId="0" borderId="0" xfId="0" applyNumberFormat="1" applyFont="1" applyAlignment="1">
      <alignment horizontal="center" vertical="center"/>
    </xf>
    <xf numFmtId="170" fontId="5" fillId="0" borderId="0" xfId="0" applyNumberFormat="1" applyFont="1" applyAlignment="1">
      <alignment horizontal="center"/>
    </xf>
    <xf numFmtId="170" fontId="5" fillId="0" borderId="2" xfId="0" applyNumberFormat="1" applyFont="1" applyBorder="1" applyAlignment="1">
      <alignment horizontal="center" vertical="center"/>
    </xf>
    <xf numFmtId="170" fontId="5" fillId="0" borderId="2" xfId="0" applyNumberFormat="1" applyFont="1" applyBorder="1" applyAlignment="1">
      <alignment horizontal="center"/>
    </xf>
    <xf numFmtId="182" fontId="5" fillId="0" borderId="0" xfId="0" applyNumberFormat="1" applyFont="1" applyAlignment="1">
      <alignment horizontal="center"/>
    </xf>
    <xf numFmtId="182" fontId="5" fillId="0" borderId="2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82" fontId="10" fillId="0" borderId="0" xfId="0" applyNumberFormat="1" applyFont="1"/>
    <xf numFmtId="1" fontId="5" fillId="2" borderId="0" xfId="0" applyNumberFormat="1" applyFont="1" applyFill="1" applyAlignment="1">
      <alignment horizontal="left"/>
    </xf>
    <xf numFmtId="170" fontId="5" fillId="2" borderId="0" xfId="0" applyNumberFormat="1" applyFont="1" applyFill="1"/>
    <xf numFmtId="10" fontId="5" fillId="2" borderId="0" xfId="1" applyNumberFormat="1" applyFont="1" applyFill="1"/>
  </cellXfs>
  <cellStyles count="3">
    <cellStyle name="Normal" xfId="0" builtinId="0"/>
    <cellStyle name="Normal 2" xfId="2" xr:uid="{7C160EA3-B5F7-4ECB-BEF6-E44511EBF288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CF935-2E8D-4A09-9237-A77D0E86DFE2}">
  <dimension ref="A1:AB79"/>
  <sheetViews>
    <sheetView tabSelected="1" topLeftCell="A19" zoomScale="60" zoomScaleNormal="60" workbookViewId="0">
      <selection activeCell="S61" sqref="S61"/>
    </sheetView>
  </sheetViews>
  <sheetFormatPr defaultRowHeight="14.75" x14ac:dyDescent="0.75"/>
  <cols>
    <col min="1" max="1" width="11.86328125" customWidth="1"/>
    <col min="2" max="2" width="12" customWidth="1"/>
    <col min="3" max="3" width="9.81640625" customWidth="1"/>
    <col min="4" max="4" width="11.36328125" customWidth="1"/>
    <col min="5" max="5" width="11.453125" customWidth="1"/>
    <col min="6" max="6" width="10.6328125" customWidth="1"/>
    <col min="7" max="7" width="13.6328125" customWidth="1"/>
    <col min="8" max="8" width="11.81640625" customWidth="1"/>
    <col min="9" max="9" width="7.31640625" customWidth="1"/>
    <col min="10" max="11" width="10.7265625" customWidth="1"/>
    <col min="12" max="13" width="8.76953125" bestFit="1" customWidth="1"/>
    <col min="14" max="14" width="12.1328125" bestFit="1" customWidth="1"/>
    <col min="15" max="15" width="9.81640625" customWidth="1"/>
    <col min="16" max="17" width="13.54296875" customWidth="1"/>
    <col min="18" max="18" width="14.76953125" customWidth="1"/>
    <col min="19" max="19" width="14.6796875" customWidth="1"/>
    <col min="20" max="21" width="13.04296875" bestFit="1" customWidth="1"/>
    <col min="22" max="22" width="10.90625" customWidth="1"/>
    <col min="23" max="23" width="15.2265625" customWidth="1"/>
    <col min="24" max="24" width="15.7265625" customWidth="1"/>
    <col min="25" max="25" width="10.7265625" customWidth="1"/>
    <col min="26" max="26" width="11.6796875" customWidth="1"/>
    <col min="27" max="27" width="20.04296875" customWidth="1"/>
    <col min="28" max="28" width="10.6796875" customWidth="1"/>
  </cols>
  <sheetData>
    <row r="1" spans="1:27" ht="25.35" customHeight="1" x14ac:dyDescent="0.75"/>
    <row r="2" spans="1:27" ht="25.35" customHeight="1" x14ac:dyDescent="0.75">
      <c r="A2" s="2" t="s">
        <v>0</v>
      </c>
      <c r="B2" s="2"/>
      <c r="C2" s="2"/>
      <c r="D2" s="2"/>
      <c r="E2" s="2"/>
      <c r="F2" s="2"/>
      <c r="G2" s="2"/>
      <c r="H2" s="2"/>
      <c r="I2" s="1"/>
    </row>
    <row r="3" spans="1:27" ht="25.35" customHeight="1" x14ac:dyDescent="0.75">
      <c r="A3" s="2" t="s">
        <v>1</v>
      </c>
      <c r="B3" s="2"/>
      <c r="C3" s="2"/>
      <c r="D3" s="2"/>
      <c r="E3" s="2"/>
      <c r="F3" s="2"/>
      <c r="G3" s="2"/>
      <c r="H3" s="2"/>
      <c r="I3" s="1"/>
    </row>
    <row r="4" spans="1:27" ht="15" customHeight="1" x14ac:dyDescent="0.75">
      <c r="A4" s="2" t="s">
        <v>2</v>
      </c>
      <c r="B4" s="2"/>
      <c r="C4" s="2"/>
      <c r="D4" s="2"/>
      <c r="E4" s="2"/>
      <c r="F4" s="2"/>
      <c r="G4" s="2"/>
      <c r="H4" s="2"/>
      <c r="I4" s="1"/>
    </row>
    <row r="5" spans="1:27" ht="15.5" customHeight="1" x14ac:dyDescent="0.75">
      <c r="A5" s="2" t="s">
        <v>3</v>
      </c>
      <c r="B5" s="2"/>
      <c r="C5" s="2"/>
      <c r="D5" s="2"/>
      <c r="E5" s="2"/>
      <c r="F5" s="2"/>
      <c r="G5" s="2"/>
      <c r="H5" s="2"/>
      <c r="I5" s="1"/>
    </row>
    <row r="6" spans="1:27" ht="15" customHeight="1" x14ac:dyDescent="0.75">
      <c r="A6" s="2" t="s">
        <v>4</v>
      </c>
      <c r="B6" s="2"/>
      <c r="C6" s="2"/>
      <c r="D6" s="2"/>
      <c r="E6" s="2"/>
      <c r="F6" s="2"/>
      <c r="G6" s="2"/>
      <c r="H6" s="2"/>
    </row>
    <row r="7" spans="1:27" ht="15.5" customHeight="1" x14ac:dyDescent="0.75">
      <c r="A7" s="2" t="s">
        <v>5</v>
      </c>
      <c r="B7" s="2"/>
      <c r="C7" s="2"/>
      <c r="D7" s="2"/>
      <c r="E7" s="2"/>
      <c r="F7" s="2"/>
      <c r="G7" s="2"/>
      <c r="H7" s="2"/>
      <c r="L7" t="s">
        <v>43</v>
      </c>
      <c r="M7">
        <v>1600</v>
      </c>
      <c r="N7" t="s">
        <v>44</v>
      </c>
    </row>
    <row r="8" spans="1:27" ht="14.85" customHeight="1" x14ac:dyDescent="0.75">
      <c r="A8" s="2" t="s">
        <v>6</v>
      </c>
      <c r="B8" s="2"/>
      <c r="C8" s="2"/>
      <c r="D8" s="2"/>
      <c r="E8" s="2"/>
      <c r="F8" s="2"/>
      <c r="G8" s="2"/>
      <c r="H8" s="2"/>
      <c r="L8" t="s">
        <v>25</v>
      </c>
      <c r="M8">
        <v>34</v>
      </c>
    </row>
    <row r="9" spans="1:27" ht="14.5" customHeight="1" x14ac:dyDescent="0.75">
      <c r="A9" s="2" t="s">
        <v>7</v>
      </c>
      <c r="B9" s="2"/>
      <c r="C9" s="2"/>
      <c r="D9" s="2"/>
      <c r="E9" s="2"/>
      <c r="F9" s="2"/>
      <c r="G9" s="2"/>
      <c r="H9" s="2"/>
    </row>
    <row r="10" spans="1:27" ht="25.35" customHeight="1" x14ac:dyDescent="0.75"/>
    <row r="11" spans="1:27" ht="15.5" thickBot="1" x14ac:dyDescent="0.9"/>
    <row r="12" spans="1:27" ht="16.5" thickBot="1" x14ac:dyDescent="0.9">
      <c r="B12" s="16" t="s">
        <v>8</v>
      </c>
      <c r="C12" s="14" t="s">
        <v>28</v>
      </c>
      <c r="D12" s="14" t="s">
        <v>9</v>
      </c>
      <c r="E12" s="14" t="s">
        <v>29</v>
      </c>
      <c r="F12" s="14" t="s">
        <v>30</v>
      </c>
      <c r="G12" s="14" t="s">
        <v>31</v>
      </c>
      <c r="H12" s="14" t="s">
        <v>32</v>
      </c>
      <c r="J12" s="49" t="s">
        <v>60</v>
      </c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1"/>
    </row>
    <row r="13" spans="1:27" ht="31.5" customHeight="1" thickBot="1" x14ac:dyDescent="0.9">
      <c r="B13" s="17"/>
      <c r="C13" s="15"/>
      <c r="D13" s="15"/>
      <c r="E13" s="15"/>
      <c r="F13" s="15"/>
      <c r="G13" s="15"/>
      <c r="H13" s="15"/>
      <c r="J13" s="29" t="s">
        <v>8</v>
      </c>
      <c r="K13" s="29" t="s">
        <v>10</v>
      </c>
      <c r="L13" s="19" t="s">
        <v>24</v>
      </c>
      <c r="M13" s="20" t="s">
        <v>25</v>
      </c>
      <c r="N13" s="20" t="s">
        <v>26</v>
      </c>
      <c r="O13" s="20" t="s">
        <v>27</v>
      </c>
      <c r="P13" s="20" t="s">
        <v>45</v>
      </c>
      <c r="Q13" s="20" t="s">
        <v>46</v>
      </c>
      <c r="R13" s="20" t="s">
        <v>33</v>
      </c>
      <c r="S13" s="20" t="s">
        <v>34</v>
      </c>
      <c r="T13" s="20" t="s">
        <v>35</v>
      </c>
      <c r="U13" s="20" t="s">
        <v>36</v>
      </c>
      <c r="V13" s="20" t="s">
        <v>37</v>
      </c>
      <c r="W13" s="20" t="s">
        <v>38</v>
      </c>
      <c r="X13" s="20" t="s">
        <v>39</v>
      </c>
      <c r="Y13" s="20" t="s">
        <v>40</v>
      </c>
      <c r="Z13" s="20" t="s">
        <v>41</v>
      </c>
      <c r="AA13" s="20" t="s">
        <v>42</v>
      </c>
    </row>
    <row r="14" spans="1:27" ht="15.5" thickTop="1" x14ac:dyDescent="0.75">
      <c r="B14" s="8"/>
      <c r="C14" s="8" t="s">
        <v>11</v>
      </c>
      <c r="D14" s="8"/>
      <c r="E14" s="8" t="s">
        <v>12</v>
      </c>
      <c r="F14" s="8" t="s">
        <v>13</v>
      </c>
      <c r="G14" s="8" t="s">
        <v>14</v>
      </c>
      <c r="H14" s="8" t="s">
        <v>14</v>
      </c>
      <c r="J14" s="21" t="s">
        <v>20</v>
      </c>
      <c r="K14" s="21">
        <f>$C$15</f>
        <v>1333.9</v>
      </c>
      <c r="L14" s="22">
        <f>(K14*10000)/$M$7</f>
        <v>8336.875</v>
      </c>
      <c r="M14" s="23">
        <v>11</v>
      </c>
      <c r="N14" s="43">
        <f>L14*(L14-M14)/M14</f>
        <v>6310161.7400568184</v>
      </c>
      <c r="O14" s="43">
        <f>_xlfn.VAR.S(E15:E25)</f>
        <v>82167.613636363618</v>
      </c>
      <c r="P14" s="43">
        <f>AVERAGE(E15:E25)</f>
        <v>511.93181818181819</v>
      </c>
      <c r="Q14" s="44">
        <f>P14*L14</f>
        <v>4267911.5767045459</v>
      </c>
      <c r="R14" s="47">
        <f>(L14^2)*O14/M14</f>
        <v>519175952963.88727</v>
      </c>
      <c r="S14" s="47">
        <f>N14*(O14)</f>
        <v>518490931839.95258</v>
      </c>
      <c r="T14" s="47">
        <f>S14^2</f>
        <v>2.6883284640026236E+23</v>
      </c>
      <c r="U14" s="47">
        <f>T14/(M14-1)</f>
        <v>2.6883284640026235E+22</v>
      </c>
      <c r="V14" s="44">
        <f>(SQRT(O14)/P14)*100</f>
        <v>55.993577227313729</v>
      </c>
      <c r="W14" s="44">
        <f>L14^2</f>
        <v>69503484.765625</v>
      </c>
      <c r="X14" s="44">
        <f>V14^2</f>
        <v>3135.2806907111467</v>
      </c>
      <c r="Y14" s="44">
        <f>K14/$K$18</f>
        <v>0.41684374999999996</v>
      </c>
      <c r="Z14" s="47">
        <f>(W14*X14)/Y14</f>
        <v>522768864167.44989</v>
      </c>
      <c r="AA14" s="44">
        <f>L14*X14</f>
        <v>26138443.208372492</v>
      </c>
    </row>
    <row r="15" spans="1:27" x14ac:dyDescent="0.75">
      <c r="B15" s="4" t="s">
        <v>15</v>
      </c>
      <c r="C15" s="4">
        <v>1333.9</v>
      </c>
      <c r="D15" s="5">
        <v>1004</v>
      </c>
      <c r="E15" s="6">
        <v>631.25</v>
      </c>
      <c r="F15" s="6">
        <v>8.24</v>
      </c>
      <c r="G15" s="6">
        <v>5.91</v>
      </c>
      <c r="H15" s="6">
        <v>12.89</v>
      </c>
      <c r="J15" s="25" t="s">
        <v>21</v>
      </c>
      <c r="K15" s="25">
        <f>$C$26</f>
        <v>559.93600000000004</v>
      </c>
      <c r="L15" s="22">
        <f t="shared" ref="L15:L17" si="0">(K15*10000)/$M$7</f>
        <v>3499.6</v>
      </c>
      <c r="M15" s="23">
        <v>7</v>
      </c>
      <c r="N15" s="43">
        <f t="shared" ref="N15:N17" si="1">L15*(L15-M15)/M15</f>
        <v>1746100.4228571428</v>
      </c>
      <c r="O15" s="43">
        <f>_xlfn.VAR.S(E26:E32)</f>
        <v>844.49404761904827</v>
      </c>
      <c r="P15" s="43">
        <f>AVERAGE(E26:E32)</f>
        <v>166.07142857142858</v>
      </c>
      <c r="Q15" s="44">
        <f t="shared" ref="Q15:Q17" si="2">P15*L15</f>
        <v>581183.57142857148</v>
      </c>
      <c r="R15" s="47">
        <f t="shared" ref="R15:R17" si="3">(L15^2)*O15/M15</f>
        <v>1477526805.0170081</v>
      </c>
      <c r="S15" s="47">
        <f t="shared" ref="S15:S17" si="4">N15*(O15)</f>
        <v>1474571413.6479602</v>
      </c>
      <c r="T15" s="47">
        <f t="shared" ref="T15:T17" si="5">S15^2</f>
        <v>2.1743608539477437E+18</v>
      </c>
      <c r="U15" s="47">
        <f t="shared" ref="U15:U17" si="6">T15/(M15-1)</f>
        <v>3.6239347565795731E+17</v>
      </c>
      <c r="V15" s="44">
        <f t="shared" ref="V15:V17" si="7">(SQRT(O15)/P15)*100</f>
        <v>17.498602865568667</v>
      </c>
      <c r="W15" s="44">
        <f t="shared" ref="W15:W17" si="8">L15^2</f>
        <v>12247200.16</v>
      </c>
      <c r="X15" s="44">
        <f t="shared" ref="X15:X17" si="9">V15^2</f>
        <v>306.20110224688796</v>
      </c>
      <c r="Y15" s="44">
        <f t="shared" ref="Y15:Y17" si="10">K15/$K$18</f>
        <v>0.17498</v>
      </c>
      <c r="Z15" s="47">
        <f t="shared" ref="Z15:Z17" si="11">(W15*X15)/Y15</f>
        <v>21431627548.464184</v>
      </c>
      <c r="AA15" s="44">
        <f t="shared" ref="AA15:AA17" si="12">L15*X15</f>
        <v>1071581.3774232091</v>
      </c>
    </row>
    <row r="16" spans="1:27" x14ac:dyDescent="0.75">
      <c r="B16" s="4"/>
      <c r="C16" s="4"/>
      <c r="D16" s="5">
        <v>1006</v>
      </c>
      <c r="E16" s="6">
        <v>1025</v>
      </c>
      <c r="F16" s="6">
        <v>10.32</v>
      </c>
      <c r="G16" s="6">
        <v>9.59</v>
      </c>
      <c r="H16" s="6">
        <v>11.32</v>
      </c>
      <c r="J16" s="21" t="s">
        <v>22</v>
      </c>
      <c r="K16" s="21">
        <f>$C$33</f>
        <v>552.92899999999997</v>
      </c>
      <c r="L16" s="22">
        <f t="shared" si="0"/>
        <v>3455.8062500000001</v>
      </c>
      <c r="M16" s="23">
        <v>6</v>
      </c>
      <c r="N16" s="43">
        <f t="shared" si="1"/>
        <v>1986977.0000065106</v>
      </c>
      <c r="O16" s="43">
        <f>_xlfn.VAR.S(E33:E38)</f>
        <v>162.76041666666569</v>
      </c>
      <c r="P16" s="43">
        <f>AVERAGE(E33:E38)</f>
        <v>111.45833333333333</v>
      </c>
      <c r="Q16" s="44">
        <f t="shared" si="2"/>
        <v>385178.40494791669</v>
      </c>
      <c r="R16" s="47">
        <f t="shared" si="3"/>
        <v>323963672.89331037</v>
      </c>
      <c r="S16" s="47">
        <f t="shared" si="4"/>
        <v>323401204.42814106</v>
      </c>
      <c r="T16" s="47">
        <f t="shared" si="5"/>
        <v>1.0458833902557229E+17</v>
      </c>
      <c r="U16" s="47">
        <f t="shared" si="6"/>
        <v>2.0917667805114456E+16</v>
      </c>
      <c r="V16" s="44">
        <f t="shared" si="7"/>
        <v>11.446213751323228</v>
      </c>
      <c r="W16" s="44">
        <f t="shared" si="8"/>
        <v>11942596.837539064</v>
      </c>
      <c r="X16" s="44">
        <f t="shared" si="9"/>
        <v>131.01580924098096</v>
      </c>
      <c r="Y16" s="44">
        <f t="shared" si="10"/>
        <v>0.17279031249999996</v>
      </c>
      <c r="Z16" s="47">
        <f t="shared" si="11"/>
        <v>9055305048.4757977</v>
      </c>
      <c r="AA16" s="44">
        <f t="shared" si="12"/>
        <v>452765.25242378976</v>
      </c>
    </row>
    <row r="17" spans="2:28" x14ac:dyDescent="0.75">
      <c r="B17" s="4"/>
      <c r="C17" s="4"/>
      <c r="D17" s="5">
        <v>1007</v>
      </c>
      <c r="E17" s="6">
        <v>1006.25</v>
      </c>
      <c r="F17" s="6">
        <v>9.4700000000000006</v>
      </c>
      <c r="G17" s="6">
        <v>10.49</v>
      </c>
      <c r="H17" s="6">
        <v>10.95</v>
      </c>
      <c r="J17" s="30" t="s">
        <v>23</v>
      </c>
      <c r="K17" s="30">
        <f>$C$39</f>
        <v>753.23500000000001</v>
      </c>
      <c r="L17" s="31">
        <f t="shared" si="0"/>
        <v>4707.71875</v>
      </c>
      <c r="M17" s="32">
        <v>10</v>
      </c>
      <c r="N17" s="45">
        <f t="shared" si="1"/>
        <v>2211553.8641601563</v>
      </c>
      <c r="O17" s="45">
        <f>_xlfn.VAR.S(E39:E48)</f>
        <v>618.05555555555554</v>
      </c>
      <c r="P17" s="45">
        <f>AVERAGE(E39:E48)</f>
        <v>41.25</v>
      </c>
      <c r="Q17" s="46">
        <f t="shared" si="2"/>
        <v>194193.3984375</v>
      </c>
      <c r="R17" s="48">
        <f t="shared" si="3"/>
        <v>1369772783.8819716</v>
      </c>
      <c r="S17" s="47">
        <f t="shared" si="4"/>
        <v>1366863152.154541</v>
      </c>
      <c r="T17" s="48">
        <f t="shared" si="5"/>
        <v>1.8683148767178481E+18</v>
      </c>
      <c r="U17" s="48">
        <f t="shared" si="6"/>
        <v>2.0759054185753869E+17</v>
      </c>
      <c r="V17" s="46">
        <f t="shared" si="7"/>
        <v>60.268419758288076</v>
      </c>
      <c r="W17" s="46">
        <f t="shared" si="8"/>
        <v>22162615.829101563</v>
      </c>
      <c r="X17" s="46">
        <f t="shared" si="9"/>
        <v>3632.2824201612084</v>
      </c>
      <c r="Y17" s="46">
        <f t="shared" si="10"/>
        <v>0.23538593749999998</v>
      </c>
      <c r="Z17" s="48">
        <f t="shared" si="11"/>
        <v>341995281093.76599</v>
      </c>
      <c r="AA17" s="46">
        <f t="shared" si="12"/>
        <v>17099764.054688297</v>
      </c>
    </row>
    <row r="18" spans="2:28" x14ac:dyDescent="0.75">
      <c r="B18" s="4"/>
      <c r="C18" s="4"/>
      <c r="D18" s="5">
        <v>1018</v>
      </c>
      <c r="E18" s="6">
        <v>550</v>
      </c>
      <c r="F18" s="6">
        <v>9.6199999999999992</v>
      </c>
      <c r="G18" s="6">
        <v>6.34</v>
      </c>
      <c r="H18" s="6">
        <v>14.92</v>
      </c>
      <c r="J18" s="21" t="s">
        <v>19</v>
      </c>
      <c r="K18" s="21">
        <f>SUM(K14:K17)</f>
        <v>3200.0000000000005</v>
      </c>
      <c r="L18" s="27">
        <f>SUM(L14:L17)</f>
        <v>20000</v>
      </c>
      <c r="M18" s="26">
        <f>SUM(M14:M17)</f>
        <v>34</v>
      </c>
      <c r="N18" s="26"/>
      <c r="O18" s="26"/>
      <c r="P18" s="26"/>
      <c r="Q18" s="26">
        <f>SUM(Q14:Q17)</f>
        <v>5428466.9515185347</v>
      </c>
      <c r="R18" s="47">
        <f>SUM(R14:R17)</f>
        <v>522347216225.67957</v>
      </c>
      <c r="S18" s="47">
        <f>SUM(S14:S17)</f>
        <v>521655767610.18323</v>
      </c>
      <c r="T18" s="26"/>
      <c r="U18" s="28">
        <f>SUM(U14:U17)</f>
        <v>2.6883875541711556E+22</v>
      </c>
      <c r="V18" s="26"/>
      <c r="W18" s="26"/>
      <c r="X18" s="26"/>
      <c r="Y18" s="33" t="s">
        <v>54</v>
      </c>
      <c r="Z18" s="26">
        <f>SUM(Z14:Z17)</f>
        <v>895251077858.15588</v>
      </c>
      <c r="AA18" s="26">
        <f>SUM(AA14:AA17)</f>
        <v>44762553.892907783</v>
      </c>
    </row>
    <row r="19" spans="2:28" ht="26" x14ac:dyDescent="0.75">
      <c r="B19" s="4"/>
      <c r="C19" s="4"/>
      <c r="D19" s="5">
        <v>2003</v>
      </c>
      <c r="E19" s="6">
        <v>356.25</v>
      </c>
      <c r="F19" s="6">
        <v>1.96</v>
      </c>
      <c r="G19" s="6">
        <v>7.29</v>
      </c>
      <c r="H19" s="6">
        <v>8.3800000000000008</v>
      </c>
      <c r="O19" s="18"/>
      <c r="P19" s="18"/>
      <c r="Q19" s="18"/>
      <c r="R19" s="18"/>
      <c r="S19" s="34" t="s">
        <v>52</v>
      </c>
      <c r="T19" s="18"/>
      <c r="U19" s="18"/>
      <c r="V19" s="18"/>
      <c r="W19" s="18"/>
      <c r="X19" s="18"/>
      <c r="Y19" s="18"/>
      <c r="Z19" s="18"/>
      <c r="AA19" s="18"/>
      <c r="AB19" s="18"/>
    </row>
    <row r="20" spans="2:28" x14ac:dyDescent="0.75">
      <c r="B20" s="4"/>
      <c r="C20" s="4"/>
      <c r="D20" s="5">
        <v>2007</v>
      </c>
      <c r="E20" s="6">
        <v>606.25</v>
      </c>
      <c r="F20" s="6">
        <v>5.39</v>
      </c>
      <c r="G20" s="6">
        <v>9.41</v>
      </c>
      <c r="H20" s="6">
        <v>10.64</v>
      </c>
      <c r="O20" s="18"/>
      <c r="P20" s="35" t="s">
        <v>47</v>
      </c>
      <c r="Q20" s="36">
        <f>Q18/L18</f>
        <v>271.42334757592675</v>
      </c>
      <c r="R20" s="18"/>
      <c r="S20" s="37">
        <f>S18^2</f>
        <v>2.7212473988096947E+23</v>
      </c>
      <c r="T20" s="38" t="s">
        <v>58</v>
      </c>
      <c r="U20" s="39">
        <v>1</v>
      </c>
      <c r="V20" s="40" t="s">
        <v>56</v>
      </c>
      <c r="W20" s="41">
        <f>Q23</f>
        <v>2.2621571627982049</v>
      </c>
      <c r="X20" s="38" t="s">
        <v>59</v>
      </c>
      <c r="Y20" s="39">
        <v>1</v>
      </c>
      <c r="Z20" s="40" t="s">
        <v>56</v>
      </c>
      <c r="AA20" s="41">
        <f>Q23</f>
        <v>2.2621571627982049</v>
      </c>
    </row>
    <row r="21" spans="2:28" x14ac:dyDescent="0.75">
      <c r="B21" s="4"/>
      <c r="C21" s="4"/>
      <c r="D21" s="5">
        <v>2012</v>
      </c>
      <c r="E21" s="6">
        <v>225</v>
      </c>
      <c r="F21" s="6">
        <v>0.79</v>
      </c>
      <c r="G21" s="6">
        <v>6.31</v>
      </c>
      <c r="H21" s="6">
        <v>6.67</v>
      </c>
      <c r="O21" s="18"/>
      <c r="P21" s="35" t="s">
        <v>50</v>
      </c>
      <c r="Q21" s="36">
        <f>R18/(L18^2)</f>
        <v>1305.868040564199</v>
      </c>
      <c r="R21" s="18"/>
      <c r="S21" s="18"/>
      <c r="T21" s="38"/>
      <c r="U21" s="39"/>
      <c r="V21" s="40" t="s">
        <v>55</v>
      </c>
      <c r="W21" s="41">
        <f>$Z$18/(($L$18^2)*(10^2/W20^2)+$AA$18)</f>
        <v>113.88078508476556</v>
      </c>
      <c r="X21" s="38"/>
      <c r="Y21" s="39"/>
      <c r="Z21" s="40" t="s">
        <v>55</v>
      </c>
      <c r="AA21" s="41">
        <f>$Z$18/(($L$18^2)*(5^2/AA20^2)+$AA$18)</f>
        <v>447.87252905505881</v>
      </c>
    </row>
    <row r="22" spans="2:28" x14ac:dyDescent="0.75">
      <c r="B22" s="4"/>
      <c r="C22" s="4"/>
      <c r="D22" s="5">
        <v>2017</v>
      </c>
      <c r="E22" s="6">
        <v>343.75</v>
      </c>
      <c r="F22" s="6">
        <v>5.34</v>
      </c>
      <c r="G22" s="6">
        <v>13.62</v>
      </c>
      <c r="H22" s="6">
        <v>14.07</v>
      </c>
      <c r="O22" s="18"/>
      <c r="P22" s="35" t="s">
        <v>51</v>
      </c>
      <c r="Q22" s="24">
        <f>S20/U18</f>
        <v>10.12222882295209</v>
      </c>
      <c r="R22" s="18"/>
      <c r="S22" s="18"/>
      <c r="T22" s="38"/>
      <c r="U22" s="39"/>
      <c r="V22" s="40" t="s">
        <v>57</v>
      </c>
      <c r="W22" s="42">
        <f>ROUNDDOWN(W21,0)</f>
        <v>113</v>
      </c>
      <c r="X22" s="38"/>
      <c r="Y22" s="39"/>
      <c r="Z22" s="40" t="s">
        <v>57</v>
      </c>
      <c r="AA22" s="42">
        <f>ROUNDDOWN(AA21,0)</f>
        <v>447</v>
      </c>
    </row>
    <row r="23" spans="2:28" x14ac:dyDescent="0.75">
      <c r="B23" s="4"/>
      <c r="C23" s="4"/>
      <c r="D23" s="5">
        <v>2020</v>
      </c>
      <c r="E23" s="6">
        <v>387.5</v>
      </c>
      <c r="F23" s="6">
        <v>2.72</v>
      </c>
      <c r="G23" s="6">
        <v>9.4</v>
      </c>
      <c r="H23" s="6">
        <v>9.4600000000000009</v>
      </c>
      <c r="O23" s="18"/>
      <c r="P23" s="35" t="s">
        <v>53</v>
      </c>
      <c r="Q23" s="36">
        <f>_xlfn.T.INV(0.975,9)</f>
        <v>2.2621571627982049</v>
      </c>
      <c r="R23" s="18"/>
      <c r="S23" s="18"/>
      <c r="T23" s="38"/>
      <c r="U23" s="38">
        <v>2</v>
      </c>
      <c r="V23" s="40" t="s">
        <v>56</v>
      </c>
      <c r="W23" s="41">
        <f>_xlfn.T.INV(0.975,W22-1)</f>
        <v>1.9813718148763031</v>
      </c>
      <c r="X23" s="38"/>
      <c r="Y23" s="38">
        <v>2</v>
      </c>
      <c r="Z23" s="40" t="s">
        <v>56</v>
      </c>
      <c r="AA23" s="41">
        <f>_xlfn.T.INV(0.975,AA22-1)</f>
        <v>1.9652971965789798</v>
      </c>
    </row>
    <row r="24" spans="2:28" x14ac:dyDescent="0.75">
      <c r="B24" s="4"/>
      <c r="C24" s="4"/>
      <c r="D24" s="5">
        <v>3009</v>
      </c>
      <c r="E24" s="6">
        <v>281.25</v>
      </c>
      <c r="F24" s="6">
        <v>1.48</v>
      </c>
      <c r="G24" s="6">
        <v>7.94</v>
      </c>
      <c r="H24" s="6">
        <v>8.19</v>
      </c>
      <c r="O24" s="18"/>
      <c r="P24" s="35" t="s">
        <v>48</v>
      </c>
      <c r="Q24" s="54">
        <f>Q23*(SQRT(Q21))</f>
        <v>81.747112394577826</v>
      </c>
      <c r="R24" s="18"/>
      <c r="S24" s="18"/>
      <c r="T24" s="38"/>
      <c r="U24" s="38"/>
      <c r="V24" s="40" t="s">
        <v>55</v>
      </c>
      <c r="W24" s="41">
        <f>$Z$18/(($L$18^2)*(10^2/W23^2)+$AA$18)</f>
        <v>87.480857931583628</v>
      </c>
      <c r="X24" s="38"/>
      <c r="Y24" s="38"/>
      <c r="Z24" s="40" t="s">
        <v>55</v>
      </c>
      <c r="AA24" s="41">
        <f>$Z$18/(($L$18^2)*(5^2/AA23^2)+$AA$18)</f>
        <v>339.9045269688886</v>
      </c>
    </row>
    <row r="25" spans="2:28" x14ac:dyDescent="0.75">
      <c r="B25" s="8"/>
      <c r="C25" s="8"/>
      <c r="D25" s="7">
        <v>3042</v>
      </c>
      <c r="E25" s="9">
        <v>218.75</v>
      </c>
      <c r="F25" s="9">
        <v>0.98</v>
      </c>
      <c r="G25" s="9">
        <v>7.25</v>
      </c>
      <c r="H25" s="9">
        <v>7.54</v>
      </c>
      <c r="O25" s="18"/>
      <c r="P25" s="35" t="s">
        <v>49</v>
      </c>
      <c r="Q25" s="55">
        <f>Q24/Q20</f>
        <v>0.30117936840975057</v>
      </c>
      <c r="R25" s="18"/>
      <c r="S25" s="18"/>
      <c r="T25" s="38"/>
      <c r="U25" s="38"/>
      <c r="V25" s="40" t="s">
        <v>57</v>
      </c>
      <c r="W25" s="42">
        <f>ROUNDDOWN(W24,0)</f>
        <v>87</v>
      </c>
      <c r="X25" s="38"/>
      <c r="Y25" s="38"/>
      <c r="Z25" s="40" t="s">
        <v>57</v>
      </c>
      <c r="AA25" s="42">
        <f>ROUNDDOWN(AA24,0)</f>
        <v>339</v>
      </c>
    </row>
    <row r="26" spans="2:28" x14ac:dyDescent="0.75">
      <c r="B26" s="4" t="s">
        <v>16</v>
      </c>
      <c r="C26" s="4">
        <v>559.93600000000004</v>
      </c>
      <c r="D26" s="5">
        <v>1002</v>
      </c>
      <c r="E26" s="6">
        <v>181.25</v>
      </c>
      <c r="F26" s="6">
        <v>0.74</v>
      </c>
      <c r="G26" s="6">
        <v>6.8</v>
      </c>
      <c r="H26" s="6">
        <v>7.19</v>
      </c>
      <c r="O26" s="18"/>
      <c r="P26" s="18"/>
      <c r="Q26" s="18"/>
      <c r="R26" s="18"/>
      <c r="S26" s="18"/>
      <c r="T26" s="38"/>
      <c r="U26" s="38">
        <v>3</v>
      </c>
      <c r="V26" s="40" t="s">
        <v>56</v>
      </c>
      <c r="W26" s="41">
        <f>_xlfn.T.INV(0.975,W25-1)</f>
        <v>1.987934206239018</v>
      </c>
      <c r="X26" s="38"/>
      <c r="Y26" s="38">
        <v>3</v>
      </c>
      <c r="Z26" s="40" t="s">
        <v>56</v>
      </c>
      <c r="AA26" s="41">
        <f>_xlfn.T.INV(0.975,AA25-1)</f>
        <v>1.9670073106672492</v>
      </c>
    </row>
    <row r="27" spans="2:28" x14ac:dyDescent="0.75">
      <c r="B27" s="4"/>
      <c r="C27" s="4"/>
      <c r="D27" s="5">
        <v>1026</v>
      </c>
      <c r="E27" s="6">
        <v>200</v>
      </c>
      <c r="F27" s="6">
        <v>1.18</v>
      </c>
      <c r="G27" s="6">
        <v>5.72</v>
      </c>
      <c r="H27" s="6">
        <v>8.67</v>
      </c>
      <c r="O27" s="18"/>
      <c r="P27" s="18"/>
      <c r="Q27" s="18"/>
      <c r="R27" s="18"/>
      <c r="S27" s="18"/>
      <c r="T27" s="38"/>
      <c r="U27" s="38"/>
      <c r="V27" s="40" t="s">
        <v>55</v>
      </c>
      <c r="W27" s="41">
        <f>$Z$18/(($L$18^2)*(10^2/W26^2)+$AA$18)</f>
        <v>88.058742887291203</v>
      </c>
      <c r="X27" s="38"/>
      <c r="Y27" s="38"/>
      <c r="Z27" s="40" t="s">
        <v>55</v>
      </c>
      <c r="AA27" s="41">
        <f>$Z$18/(($L$18^2)*(5^2/AA26^2)+$AA$18)</f>
        <v>340.48624895957903</v>
      </c>
    </row>
    <row r="28" spans="2:28" ht="15.5" thickBot="1" x14ac:dyDescent="0.9">
      <c r="B28" s="4"/>
      <c r="C28" s="4"/>
      <c r="D28" s="5">
        <v>1028</v>
      </c>
      <c r="E28" s="6">
        <v>137.5</v>
      </c>
      <c r="F28" s="6">
        <v>0.76</v>
      </c>
      <c r="G28" s="6">
        <v>8.02</v>
      </c>
      <c r="H28" s="6">
        <v>8.41</v>
      </c>
      <c r="O28" s="18"/>
      <c r="P28" s="18"/>
      <c r="Q28" s="18"/>
      <c r="R28" s="18"/>
      <c r="S28" s="18"/>
      <c r="T28" s="38"/>
      <c r="U28" s="38"/>
      <c r="V28" s="40" t="s">
        <v>57</v>
      </c>
      <c r="W28" s="53">
        <f>ROUNDDOWN(W27,0)</f>
        <v>88</v>
      </c>
      <c r="X28" s="38"/>
      <c r="Y28" s="38"/>
      <c r="Z28" s="40" t="s">
        <v>57</v>
      </c>
      <c r="AA28" s="53">
        <f>ROUNDDOWN(AA27,0)</f>
        <v>340</v>
      </c>
    </row>
    <row r="29" spans="2:28" ht="16.5" thickBot="1" x14ac:dyDescent="0.9">
      <c r="B29" s="4"/>
      <c r="C29" s="4"/>
      <c r="D29" s="5">
        <v>2013</v>
      </c>
      <c r="E29" s="6">
        <v>168.75</v>
      </c>
      <c r="F29" s="6">
        <v>0.55000000000000004</v>
      </c>
      <c r="G29" s="6">
        <v>6.27</v>
      </c>
      <c r="H29" s="6">
        <v>6.42</v>
      </c>
      <c r="J29" s="49" t="s">
        <v>30</v>
      </c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1"/>
      <c r="AB29" s="18"/>
    </row>
    <row r="30" spans="2:28" ht="26.75" thickBot="1" x14ac:dyDescent="0.9">
      <c r="B30" s="4"/>
      <c r="C30" s="4"/>
      <c r="D30" s="5">
        <v>3004</v>
      </c>
      <c r="E30" s="6">
        <v>131.25</v>
      </c>
      <c r="F30" s="6">
        <v>0.52</v>
      </c>
      <c r="G30" s="6">
        <v>6.56</v>
      </c>
      <c r="H30" s="6">
        <v>7.1</v>
      </c>
      <c r="J30" s="29" t="s">
        <v>8</v>
      </c>
      <c r="K30" s="29" t="s">
        <v>10</v>
      </c>
      <c r="L30" s="19" t="s">
        <v>24</v>
      </c>
      <c r="M30" s="20" t="s">
        <v>25</v>
      </c>
      <c r="N30" s="20" t="s">
        <v>26</v>
      </c>
      <c r="O30" s="20" t="s">
        <v>27</v>
      </c>
      <c r="P30" s="20" t="s">
        <v>45</v>
      </c>
      <c r="Q30" s="20" t="s">
        <v>46</v>
      </c>
      <c r="R30" s="20" t="s">
        <v>33</v>
      </c>
      <c r="S30" s="20" t="s">
        <v>34</v>
      </c>
      <c r="T30" s="20" t="s">
        <v>35</v>
      </c>
      <c r="U30" s="20" t="s">
        <v>36</v>
      </c>
      <c r="V30" s="20" t="s">
        <v>37</v>
      </c>
      <c r="W30" s="20" t="s">
        <v>38</v>
      </c>
      <c r="X30" s="20" t="s">
        <v>39</v>
      </c>
      <c r="Y30" s="20" t="s">
        <v>40</v>
      </c>
      <c r="Z30" s="20" t="s">
        <v>41</v>
      </c>
      <c r="AA30" s="20" t="s">
        <v>42</v>
      </c>
      <c r="AB30" s="18"/>
    </row>
    <row r="31" spans="2:28" ht="15.5" thickTop="1" x14ac:dyDescent="0.75">
      <c r="B31" s="10"/>
      <c r="C31" s="10"/>
      <c r="D31" s="11">
        <v>4002</v>
      </c>
      <c r="E31" s="12">
        <v>200</v>
      </c>
      <c r="F31" s="12">
        <v>0.66</v>
      </c>
      <c r="G31" s="12">
        <v>6.21</v>
      </c>
      <c r="H31" s="12">
        <v>6.49</v>
      </c>
      <c r="J31" s="21" t="s">
        <v>20</v>
      </c>
      <c r="K31" s="21">
        <f>$C$15</f>
        <v>1333.9</v>
      </c>
      <c r="L31" s="22">
        <f>(K31*10000)/$M$7</f>
        <v>8336.875</v>
      </c>
      <c r="M31" s="23">
        <v>11</v>
      </c>
      <c r="N31" s="43">
        <f>L31*(L31-M31)/M31</f>
        <v>6310161.7400568184</v>
      </c>
      <c r="O31" s="43">
        <f>_xlfn.VAR.S(F15:F25)</f>
        <v>14.095189090909106</v>
      </c>
      <c r="P31" s="43">
        <f>AVERAGE(F15:F25)</f>
        <v>5.1190909090909082</v>
      </c>
      <c r="Q31" s="44">
        <f>P31*L31</f>
        <v>42677.221022727266</v>
      </c>
      <c r="R31" s="47">
        <f>(L31^2)*O31/M31</f>
        <v>89060432.749873146</v>
      </c>
      <c r="S31" s="47">
        <f>N31*(O31)</f>
        <v>88942922.920320883</v>
      </c>
      <c r="T31" s="47">
        <f>S31^2</f>
        <v>7910843537610142</v>
      </c>
      <c r="U31" s="47">
        <f>T31/(M31-1)</f>
        <v>791084353761014.25</v>
      </c>
      <c r="V31" s="44">
        <f>(SQRT(O31)/P31)*100</f>
        <v>73.340287995364122</v>
      </c>
      <c r="W31" s="44">
        <f>L31^2</f>
        <v>69503484.765625</v>
      </c>
      <c r="X31" s="44">
        <f>V31^2</f>
        <v>5378.7978432429509</v>
      </c>
      <c r="Y31" s="44">
        <f>K31/$K$18</f>
        <v>0.41684374999999996</v>
      </c>
      <c r="Z31" s="47">
        <f>(W31*X31)/Y31</f>
        <v>896847305387.72156</v>
      </c>
      <c r="AA31" s="44">
        <f>L31*X31</f>
        <v>44842365.269386075</v>
      </c>
    </row>
    <row r="32" spans="2:28" x14ac:dyDescent="0.75">
      <c r="B32" s="13"/>
      <c r="C32" s="13"/>
      <c r="D32" s="7">
        <v>4010</v>
      </c>
      <c r="E32" s="9">
        <v>143.75</v>
      </c>
      <c r="F32" s="9">
        <v>0.96</v>
      </c>
      <c r="G32" s="9">
        <v>3.93</v>
      </c>
      <c r="H32" s="9">
        <v>9.2200000000000006</v>
      </c>
      <c r="J32" s="25" t="s">
        <v>21</v>
      </c>
      <c r="K32" s="25">
        <f>$C$26</f>
        <v>559.93600000000004</v>
      </c>
      <c r="L32" s="22">
        <f t="shared" ref="L32:L34" si="13">(K32*10000)/$M$7</f>
        <v>3499.6</v>
      </c>
      <c r="M32" s="23">
        <v>7</v>
      </c>
      <c r="N32" s="43">
        <f t="shared" ref="N32:N34" si="14">L32*(L32-M32)/M32</f>
        <v>1746100.4228571428</v>
      </c>
      <c r="O32" s="43">
        <f>_xlfn.VAR.S(F26:F32)</f>
        <v>5.4690476190476435E-2</v>
      </c>
      <c r="P32" s="43">
        <f>AVERAGE(F26:F32)</f>
        <v>0.76714285714285702</v>
      </c>
      <c r="Q32" s="44">
        <f t="shared" ref="Q32:Q34" si="15">P32*L32</f>
        <v>2684.6931428571424</v>
      </c>
      <c r="R32" s="47">
        <f t="shared" ref="R32:R34" si="16">(L32^2)*O32/M32</f>
        <v>95686.45839292559</v>
      </c>
      <c r="S32" s="47">
        <f t="shared" ref="S32:S34" si="17">N32*(O32)</f>
        <v>95495.063602449402</v>
      </c>
      <c r="T32" s="47">
        <f t="shared" ref="T32:T34" si="18">S32^2</f>
        <v>9119307172.4358559</v>
      </c>
      <c r="U32" s="47">
        <f t="shared" ref="U32:U34" si="19">T32/(M32-1)</f>
        <v>1519884528.7393093</v>
      </c>
      <c r="V32" s="44">
        <f t="shared" ref="V32:V34" si="20">(SQRT(O32)/P32)*100</f>
        <v>30.484537237391134</v>
      </c>
      <c r="W32" s="44">
        <f t="shared" ref="W32:W34" si="21">L32^2</f>
        <v>12247200.16</v>
      </c>
      <c r="X32" s="44">
        <f t="shared" ref="X32:X34" si="22">V32^2</f>
        <v>929.30701057788667</v>
      </c>
      <c r="Y32" s="44">
        <f t="shared" ref="Y32:Y34" si="23">K32/$K$18</f>
        <v>0.17498</v>
      </c>
      <c r="Z32" s="47">
        <f t="shared" ref="Z32:Z34" si="24">(W32*X32)/Y32</f>
        <v>65044056284.367439</v>
      </c>
      <c r="AA32" s="44">
        <f t="shared" ref="AA32:AA34" si="25">L32*X32</f>
        <v>3252202.8142183721</v>
      </c>
    </row>
    <row r="33" spans="2:27" x14ac:dyDescent="0.75">
      <c r="B33" s="4" t="s">
        <v>17</v>
      </c>
      <c r="C33" s="4">
        <v>552.92899999999997</v>
      </c>
      <c r="D33" s="5">
        <v>1025</v>
      </c>
      <c r="E33" s="6">
        <v>112.5</v>
      </c>
      <c r="F33" s="6">
        <v>0.87</v>
      </c>
      <c r="G33" s="6">
        <v>4.3</v>
      </c>
      <c r="H33" s="6">
        <v>9.91</v>
      </c>
      <c r="J33" s="21" t="s">
        <v>22</v>
      </c>
      <c r="K33" s="21">
        <f>$C$33</f>
        <v>552.92899999999997</v>
      </c>
      <c r="L33" s="22">
        <f t="shared" si="13"/>
        <v>3455.8062500000001</v>
      </c>
      <c r="M33" s="23">
        <v>6</v>
      </c>
      <c r="N33" s="43">
        <f t="shared" si="14"/>
        <v>1986977.0000065106</v>
      </c>
      <c r="O33" s="43">
        <f>_xlfn.VAR.S(F33:F38)</f>
        <v>0.17078666666666678</v>
      </c>
      <c r="P33" s="43">
        <f>AVERAGE(F33:F38)</f>
        <v>0.72666666666666657</v>
      </c>
      <c r="Q33" s="44">
        <f t="shared" si="15"/>
        <v>2511.219208333333</v>
      </c>
      <c r="R33" s="47">
        <f t="shared" si="16"/>
        <v>339939.38420452882</v>
      </c>
      <c r="S33" s="47">
        <f t="shared" si="17"/>
        <v>339349.17857444548</v>
      </c>
      <c r="T33" s="47">
        <f t="shared" si="18"/>
        <v>115157864999.15089</v>
      </c>
      <c r="U33" s="47">
        <f t="shared" si="19"/>
        <v>23031572999.830177</v>
      </c>
      <c r="V33" s="44">
        <f t="shared" si="20"/>
        <v>56.871114901375144</v>
      </c>
      <c r="W33" s="44">
        <f t="shared" si="21"/>
        <v>11942596.837539064</v>
      </c>
      <c r="X33" s="44">
        <f t="shared" si="22"/>
        <v>3234.323710125414</v>
      </c>
      <c r="Y33" s="44">
        <f t="shared" si="23"/>
        <v>0.17279031249999996</v>
      </c>
      <c r="Z33" s="47">
        <f t="shared" si="24"/>
        <v>223543921839.49197</v>
      </c>
      <c r="AA33" s="44">
        <f t="shared" si="25"/>
        <v>11177196.091974594</v>
      </c>
    </row>
    <row r="34" spans="2:27" x14ac:dyDescent="0.75">
      <c r="B34" s="3"/>
      <c r="C34" s="3"/>
      <c r="D34" s="5">
        <v>1029</v>
      </c>
      <c r="E34" s="6">
        <v>125</v>
      </c>
      <c r="F34" s="6">
        <v>1.05</v>
      </c>
      <c r="G34" s="6">
        <v>3.43</v>
      </c>
      <c r="H34" s="6">
        <v>10.37</v>
      </c>
      <c r="J34" s="30" t="s">
        <v>23</v>
      </c>
      <c r="K34" s="30">
        <f>$C$39</f>
        <v>753.23500000000001</v>
      </c>
      <c r="L34" s="31">
        <f t="shared" si="13"/>
        <v>4707.71875</v>
      </c>
      <c r="M34" s="32">
        <v>10</v>
      </c>
      <c r="N34" s="45">
        <f t="shared" si="14"/>
        <v>2211553.8641601563</v>
      </c>
      <c r="O34" s="45">
        <f>_xlfn.VAR.S(F39:F48)</f>
        <v>9.7822222222222165E-3</v>
      </c>
      <c r="P34" s="45">
        <f>AVERAGE(F39:F48)</f>
        <v>0.12400000000000003</v>
      </c>
      <c r="Q34" s="46">
        <f t="shared" si="15"/>
        <v>583.75712500000009</v>
      </c>
      <c r="R34" s="48">
        <f t="shared" si="16"/>
        <v>21679.963306601116</v>
      </c>
      <c r="S34" s="48">
        <f t="shared" si="17"/>
        <v>21633.911355628894</v>
      </c>
      <c r="T34" s="48">
        <f t="shared" si="18"/>
        <v>468026120.54320878</v>
      </c>
      <c r="U34" s="48">
        <f t="shared" si="19"/>
        <v>52002902.282578751</v>
      </c>
      <c r="V34" s="46">
        <f t="shared" si="20"/>
        <v>79.762191346895534</v>
      </c>
      <c r="W34" s="46">
        <f t="shared" si="21"/>
        <v>22162615.829101563</v>
      </c>
      <c r="X34" s="46">
        <f t="shared" si="22"/>
        <v>6362.0071684587765</v>
      </c>
      <c r="Y34" s="46">
        <f t="shared" si="23"/>
        <v>0.23538593749999998</v>
      </c>
      <c r="Z34" s="48">
        <f t="shared" si="24"/>
        <v>599010808691.75586</v>
      </c>
      <c r="AA34" s="46">
        <f t="shared" si="25"/>
        <v>29950540.434587792</v>
      </c>
    </row>
    <row r="35" spans="2:27" x14ac:dyDescent="0.75">
      <c r="B35" s="4"/>
      <c r="C35" s="4"/>
      <c r="D35" s="5">
        <v>1031</v>
      </c>
      <c r="E35" s="6">
        <v>125</v>
      </c>
      <c r="F35" s="6">
        <v>1.31</v>
      </c>
      <c r="G35" s="6">
        <v>2.95</v>
      </c>
      <c r="H35" s="6">
        <v>11.57</v>
      </c>
      <c r="J35" s="21" t="s">
        <v>19</v>
      </c>
      <c r="K35" s="21">
        <f>SUM(K31:K34)</f>
        <v>3200.0000000000005</v>
      </c>
      <c r="L35" s="27">
        <f>SUM(L31:L34)</f>
        <v>20000</v>
      </c>
      <c r="M35" s="26">
        <f>SUM(M31:M34)</f>
        <v>34</v>
      </c>
      <c r="N35" s="26"/>
      <c r="O35" s="26"/>
      <c r="P35" s="26"/>
      <c r="Q35" s="26">
        <f>SUM(Q31:Q34)</f>
        <v>48456.890498917739</v>
      </c>
      <c r="R35" s="47">
        <f>SUM(R31:R34)</f>
        <v>89517738.555777207</v>
      </c>
      <c r="S35" s="47">
        <f>SUM(S31:S34)</f>
        <v>89399401.073853403</v>
      </c>
      <c r="T35" s="26"/>
      <c r="U35" s="28">
        <f>SUM(U31:U34)</f>
        <v>791108957221445.13</v>
      </c>
      <c r="V35" s="26"/>
      <c r="W35" s="26"/>
      <c r="X35" s="26"/>
      <c r="Y35" s="33" t="s">
        <v>54</v>
      </c>
      <c r="Z35" s="26">
        <f>SUM(Z31:Z34)</f>
        <v>1784446092203.3369</v>
      </c>
      <c r="AA35" s="26">
        <f>SUM(AA31:AA34)</f>
        <v>89222304.610166833</v>
      </c>
    </row>
    <row r="36" spans="2:27" ht="26" x14ac:dyDescent="0.75">
      <c r="B36" s="4"/>
      <c r="C36" s="4"/>
      <c r="D36" s="5">
        <v>2026</v>
      </c>
      <c r="E36" s="6">
        <v>93.75</v>
      </c>
      <c r="F36" s="6">
        <v>0.28999999999999998</v>
      </c>
      <c r="G36" s="6">
        <v>6.14</v>
      </c>
      <c r="H36" s="6">
        <v>6.28</v>
      </c>
      <c r="O36" s="18"/>
      <c r="P36" s="18"/>
      <c r="Q36" s="18"/>
      <c r="R36" s="18"/>
      <c r="S36" s="34" t="s">
        <v>52</v>
      </c>
      <c r="T36" s="18"/>
      <c r="U36" s="18"/>
      <c r="V36" s="18"/>
      <c r="W36" s="18"/>
      <c r="X36" s="18"/>
      <c r="Y36" s="18"/>
      <c r="Z36" s="18"/>
      <c r="AA36" s="18"/>
    </row>
    <row r="37" spans="2:27" x14ac:dyDescent="0.75">
      <c r="B37" s="4"/>
      <c r="C37" s="4"/>
      <c r="D37" s="5">
        <v>2037</v>
      </c>
      <c r="E37" s="6">
        <v>100</v>
      </c>
      <c r="F37" s="6">
        <v>0.49</v>
      </c>
      <c r="G37" s="6">
        <v>7.27</v>
      </c>
      <c r="H37" s="6">
        <v>7.89</v>
      </c>
      <c r="O37" s="18"/>
      <c r="P37" s="35" t="s">
        <v>47</v>
      </c>
      <c r="Q37" s="36">
        <f>Q35/L35</f>
        <v>2.4228445249458868</v>
      </c>
      <c r="R37" s="18"/>
      <c r="S37" s="52">
        <f>S35^2</f>
        <v>7992252912363701</v>
      </c>
      <c r="T37" s="38" t="s">
        <v>58</v>
      </c>
      <c r="U37" s="39">
        <v>1</v>
      </c>
      <c r="V37" s="40" t="s">
        <v>56</v>
      </c>
      <c r="W37" s="41">
        <f>Q40</f>
        <v>2.2621571627982049</v>
      </c>
      <c r="X37" s="38" t="s">
        <v>59</v>
      </c>
      <c r="Y37" s="39">
        <v>1</v>
      </c>
      <c r="Z37" s="40" t="s">
        <v>56</v>
      </c>
      <c r="AA37" s="41">
        <f>Q40</f>
        <v>2.2621571627982049</v>
      </c>
    </row>
    <row r="38" spans="2:27" x14ac:dyDescent="0.75">
      <c r="B38" s="8"/>
      <c r="C38" s="8"/>
      <c r="D38" s="7">
        <v>4011</v>
      </c>
      <c r="E38" s="9">
        <v>112.5</v>
      </c>
      <c r="F38" s="9">
        <v>0.35</v>
      </c>
      <c r="G38" s="9">
        <v>6.57</v>
      </c>
      <c r="H38" s="9">
        <v>6.26</v>
      </c>
      <c r="O38" s="18"/>
      <c r="P38" s="35" t="s">
        <v>50</v>
      </c>
      <c r="Q38" s="36">
        <f>R35/(L35^2)</f>
        <v>0.22379434638944301</v>
      </c>
      <c r="R38" s="18"/>
      <c r="S38" s="18"/>
      <c r="T38" s="38"/>
      <c r="U38" s="39"/>
      <c r="V38" s="40" t="s">
        <v>55</v>
      </c>
      <c r="W38" s="41">
        <f>$Z$35/(($L$18^2)*(10^2/W37^2)+$AA$35)</f>
        <v>225.71467201675796</v>
      </c>
      <c r="X38" s="38"/>
      <c r="Y38" s="39"/>
      <c r="Z38" s="40" t="s">
        <v>55</v>
      </c>
      <c r="AA38" s="41">
        <f>$Z$35/(($L$18^2)*(5^2/AA37^2)+$AA$35)</f>
        <v>873.29148296902451</v>
      </c>
    </row>
    <row r="39" spans="2:27" x14ac:dyDescent="0.75">
      <c r="B39" s="4" t="s">
        <v>18</v>
      </c>
      <c r="C39" s="4">
        <v>753.23500000000001</v>
      </c>
      <c r="D39" s="5">
        <v>1003</v>
      </c>
      <c r="E39" s="6">
        <v>87.5</v>
      </c>
      <c r="F39" s="6">
        <v>0.34</v>
      </c>
      <c r="G39" s="6">
        <v>7.55</v>
      </c>
      <c r="H39" s="6">
        <v>7.03</v>
      </c>
      <c r="O39" s="18"/>
      <c r="P39" s="35" t="s">
        <v>51</v>
      </c>
      <c r="Q39" s="24">
        <f>S37/U35</f>
        <v>10.102594389064073</v>
      </c>
      <c r="R39" s="18"/>
      <c r="S39" s="18"/>
      <c r="T39" s="38"/>
      <c r="U39" s="39"/>
      <c r="V39" s="40" t="s">
        <v>57</v>
      </c>
      <c r="W39" s="42">
        <f>ROUNDDOWN(W38,0)</f>
        <v>225</v>
      </c>
      <c r="X39" s="38"/>
      <c r="Y39" s="39"/>
      <c r="Z39" s="40" t="s">
        <v>57</v>
      </c>
      <c r="AA39" s="42">
        <f>ROUNDDOWN(AA38,0)</f>
        <v>873</v>
      </c>
    </row>
    <row r="40" spans="2:27" x14ac:dyDescent="0.75">
      <c r="B40" s="3"/>
      <c r="C40" s="3"/>
      <c r="D40" s="5">
        <v>2029</v>
      </c>
      <c r="E40" s="6">
        <v>37.5</v>
      </c>
      <c r="F40" s="6">
        <v>0.11</v>
      </c>
      <c r="G40" s="6">
        <v>5.99</v>
      </c>
      <c r="H40" s="6">
        <v>6.05</v>
      </c>
      <c r="O40" s="18"/>
      <c r="P40" s="35" t="s">
        <v>53</v>
      </c>
      <c r="Q40" s="36">
        <f>_xlfn.T.INV(0.975,9)</f>
        <v>2.2621571627982049</v>
      </c>
      <c r="R40" s="18"/>
      <c r="S40" s="18"/>
      <c r="T40" s="38"/>
      <c r="U40" s="38">
        <v>2</v>
      </c>
      <c r="V40" s="40" t="s">
        <v>56</v>
      </c>
      <c r="W40" s="41">
        <f>_xlfn.T.INV(0.975,W39-1)</f>
        <v>1.9706109611023637</v>
      </c>
      <c r="X40" s="38"/>
      <c r="Y40" s="38">
        <v>2</v>
      </c>
      <c r="Z40" s="40" t="s">
        <v>56</v>
      </c>
      <c r="AA40" s="41">
        <f>_xlfn.T.INV(0.975,AA39-1)</f>
        <v>1.962688194866099</v>
      </c>
    </row>
    <row r="41" spans="2:27" x14ac:dyDescent="0.75">
      <c r="B41" s="4"/>
      <c r="C41" s="4"/>
      <c r="D41" s="5">
        <v>2035</v>
      </c>
      <c r="E41" s="6">
        <v>50</v>
      </c>
      <c r="F41" s="6">
        <v>0.14000000000000001</v>
      </c>
      <c r="G41" s="6">
        <v>5.86</v>
      </c>
      <c r="H41" s="6">
        <v>5.91</v>
      </c>
      <c r="O41" s="18"/>
      <c r="P41" s="35" t="s">
        <v>48</v>
      </c>
      <c r="Q41" s="54">
        <f>Q40*(SQRT(Q38))</f>
        <v>1.0701565885431765</v>
      </c>
      <c r="R41" s="18"/>
      <c r="S41" s="18"/>
      <c r="T41" s="38"/>
      <c r="U41" s="38"/>
      <c r="V41" s="40" t="s">
        <v>55</v>
      </c>
      <c r="W41" s="41">
        <f>$Z$35/(($L$18^2)*(10^2/W40^2)+$AA$35)</f>
        <v>171.7511268370433</v>
      </c>
      <c r="X41" s="38"/>
      <c r="Y41" s="38"/>
      <c r="Z41" s="40" t="s">
        <v>55</v>
      </c>
      <c r="AA41" s="41">
        <f>$Z$35/(($L$18^2)*(5^2/AA40^2)+$AA$35)</f>
        <v>664.55396333271096</v>
      </c>
    </row>
    <row r="42" spans="2:27" x14ac:dyDescent="0.75">
      <c r="B42" s="4"/>
      <c r="C42" s="4"/>
      <c r="D42" s="5">
        <v>3039</v>
      </c>
      <c r="E42" s="6">
        <v>6.25</v>
      </c>
      <c r="F42" s="6">
        <v>0.02</v>
      </c>
      <c r="G42" s="6">
        <v>5.7</v>
      </c>
      <c r="H42" s="6">
        <v>5.7</v>
      </c>
      <c r="O42" s="18"/>
      <c r="P42" s="35" t="s">
        <v>49</v>
      </c>
      <c r="Q42" s="55">
        <f>Q41/Q37</f>
        <v>0.4416942884798099</v>
      </c>
      <c r="R42" s="18"/>
      <c r="S42" s="18"/>
      <c r="T42" s="38"/>
      <c r="U42" s="38"/>
      <c r="V42" s="40" t="s">
        <v>57</v>
      </c>
      <c r="W42" s="42">
        <f>ROUNDDOWN(W41,0)</f>
        <v>171</v>
      </c>
      <c r="X42" s="38"/>
      <c r="Y42" s="38"/>
      <c r="Z42" s="40" t="s">
        <v>57</v>
      </c>
      <c r="AA42" s="42">
        <f>ROUNDDOWN(AA41,0)</f>
        <v>664</v>
      </c>
    </row>
    <row r="43" spans="2:27" x14ac:dyDescent="0.75">
      <c r="B43" s="4"/>
      <c r="C43" s="4"/>
      <c r="D43" s="5">
        <v>3063</v>
      </c>
      <c r="E43" s="6">
        <v>68.75</v>
      </c>
      <c r="F43" s="6">
        <v>0.24</v>
      </c>
      <c r="G43" s="6">
        <v>6.25</v>
      </c>
      <c r="H43" s="6">
        <v>6.64</v>
      </c>
      <c r="O43" s="18"/>
      <c r="P43" s="18"/>
      <c r="Q43" s="18"/>
      <c r="R43" s="18"/>
      <c r="S43" s="18"/>
      <c r="T43" s="38"/>
      <c r="U43" s="38">
        <v>3</v>
      </c>
      <c r="V43" s="40" t="s">
        <v>56</v>
      </c>
      <c r="W43" s="41">
        <f>_xlfn.T.INV(0.975,W42-1)</f>
        <v>1.974016707630968</v>
      </c>
      <c r="X43" s="38"/>
      <c r="Y43" s="38">
        <v>3</v>
      </c>
      <c r="Z43" s="40" t="s">
        <v>56</v>
      </c>
      <c r="AA43" s="41">
        <f>_xlfn.T.INV(0.975,AA42-1)</f>
        <v>1.9635485006977025</v>
      </c>
    </row>
    <row r="44" spans="2:27" x14ac:dyDescent="0.75">
      <c r="B44" s="10"/>
      <c r="C44" s="10"/>
      <c r="D44" s="5">
        <v>4009</v>
      </c>
      <c r="E44" s="6">
        <v>56.25</v>
      </c>
      <c r="F44" s="6">
        <v>0.13</v>
      </c>
      <c r="G44" s="6">
        <v>5.47</v>
      </c>
      <c r="H44" s="6">
        <v>5.4</v>
      </c>
      <c r="O44" s="18"/>
      <c r="P44" s="18"/>
      <c r="Q44" s="18"/>
      <c r="R44" s="18"/>
      <c r="S44" s="18"/>
      <c r="T44" s="38"/>
      <c r="U44" s="38"/>
      <c r="V44" s="40" t="s">
        <v>55</v>
      </c>
      <c r="W44" s="41">
        <f>$Z$35/(($L$18^2)*(10^2/W43^2)+$AA$35)</f>
        <v>172.34018422805778</v>
      </c>
      <c r="X44" s="38"/>
      <c r="Y44" s="38"/>
      <c r="Z44" s="40" t="s">
        <v>55</v>
      </c>
      <c r="AA44" s="41">
        <f>$Z$35/(($L$18^2)*(5^2/AA43^2)+$AA$35)</f>
        <v>665.11730065143934</v>
      </c>
    </row>
    <row r="45" spans="2:27" ht="15.5" thickBot="1" x14ac:dyDescent="0.9">
      <c r="B45" s="3"/>
      <c r="C45" s="3"/>
      <c r="D45" s="5">
        <v>4014</v>
      </c>
      <c r="E45" s="6">
        <v>18.75</v>
      </c>
      <c r="F45" s="6">
        <v>0.04</v>
      </c>
      <c r="G45" s="6">
        <v>5.33</v>
      </c>
      <c r="H45" s="6">
        <v>5.36</v>
      </c>
      <c r="O45" s="18"/>
      <c r="P45" s="18"/>
      <c r="Q45" s="18"/>
      <c r="R45" s="18"/>
      <c r="S45" s="18"/>
      <c r="T45" s="38"/>
      <c r="U45" s="38"/>
      <c r="V45" s="40" t="s">
        <v>57</v>
      </c>
      <c r="W45" s="53">
        <f>ROUNDDOWN(W44,0)</f>
        <v>172</v>
      </c>
      <c r="X45" s="38"/>
      <c r="Y45" s="38"/>
      <c r="Z45" s="40" t="s">
        <v>57</v>
      </c>
      <c r="AA45" s="53">
        <f>ROUNDDOWN(AA44,0)</f>
        <v>665</v>
      </c>
    </row>
    <row r="46" spans="2:27" ht="16.5" thickBot="1" x14ac:dyDescent="0.9">
      <c r="B46" s="3"/>
      <c r="C46" s="3"/>
      <c r="D46" s="11">
        <v>4016</v>
      </c>
      <c r="E46" s="12">
        <v>31.25</v>
      </c>
      <c r="F46" s="12">
        <v>0.08</v>
      </c>
      <c r="G46" s="12">
        <v>5.62</v>
      </c>
      <c r="H46" s="12">
        <v>5.69</v>
      </c>
      <c r="J46" s="49" t="s">
        <v>31</v>
      </c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1"/>
    </row>
    <row r="47" spans="2:27" ht="26.75" thickBot="1" x14ac:dyDescent="0.9">
      <c r="B47" s="3"/>
      <c r="C47" s="3"/>
      <c r="D47" s="5">
        <v>4017</v>
      </c>
      <c r="E47" s="6">
        <v>37.5</v>
      </c>
      <c r="F47" s="6">
        <v>0.1</v>
      </c>
      <c r="G47" s="6">
        <v>5.61</v>
      </c>
      <c r="H47" s="6">
        <v>5.7</v>
      </c>
      <c r="J47" s="29" t="s">
        <v>8</v>
      </c>
      <c r="K47" s="29" t="s">
        <v>10</v>
      </c>
      <c r="L47" s="19" t="s">
        <v>24</v>
      </c>
      <c r="M47" s="20" t="s">
        <v>25</v>
      </c>
      <c r="N47" s="20" t="s">
        <v>26</v>
      </c>
      <c r="O47" s="20" t="s">
        <v>27</v>
      </c>
      <c r="P47" s="20" t="s">
        <v>45</v>
      </c>
      <c r="Q47" s="20" t="s">
        <v>46</v>
      </c>
      <c r="R47" s="20" t="s">
        <v>33</v>
      </c>
      <c r="S47" s="20" t="s">
        <v>34</v>
      </c>
      <c r="T47" s="20" t="s">
        <v>35</v>
      </c>
      <c r="U47" s="20" t="s">
        <v>36</v>
      </c>
      <c r="V47" s="20" t="s">
        <v>37</v>
      </c>
      <c r="W47" s="20" t="s">
        <v>38</v>
      </c>
      <c r="X47" s="20" t="s">
        <v>39</v>
      </c>
      <c r="Y47" s="20" t="s">
        <v>40</v>
      </c>
      <c r="Z47" s="20" t="s">
        <v>41</v>
      </c>
      <c r="AA47" s="20" t="s">
        <v>42</v>
      </c>
    </row>
    <row r="48" spans="2:27" ht="15.5" thickTop="1" x14ac:dyDescent="0.75">
      <c r="B48" s="13"/>
      <c r="C48" s="13"/>
      <c r="D48" s="7">
        <v>4018</v>
      </c>
      <c r="E48" s="9">
        <v>18.75</v>
      </c>
      <c r="F48" s="9">
        <v>0.04</v>
      </c>
      <c r="G48" s="9">
        <v>5.36</v>
      </c>
      <c r="H48" s="9">
        <v>5.37</v>
      </c>
      <c r="J48" s="21" t="s">
        <v>20</v>
      </c>
      <c r="K48" s="21">
        <f>$C$15</f>
        <v>1333.9</v>
      </c>
      <c r="L48" s="22">
        <f>(K48*10000)/$M$7</f>
        <v>8336.875</v>
      </c>
      <c r="M48" s="23">
        <v>11</v>
      </c>
      <c r="N48" s="43">
        <f>L48*(L48-M48)/M48</f>
        <v>6310161.7400568184</v>
      </c>
      <c r="O48" s="43">
        <f>_xlfn.VAR.S(G15:G25)</f>
        <v>5.2510472727272601</v>
      </c>
      <c r="P48" s="43">
        <f>AVERAGE(G15:G25)</f>
        <v>8.5045454545454557</v>
      </c>
      <c r="Q48" s="44">
        <f>P48*L48</f>
        <v>70901.332386363647</v>
      </c>
      <c r="R48" s="47">
        <f>(L48^2)*O48/M48</f>
        <v>33178734.920325074</v>
      </c>
      <c r="S48" s="47">
        <f>N48*(O48)</f>
        <v>33134957.595593259</v>
      </c>
      <c r="T48" s="47">
        <f>S48^2</f>
        <v>1097925414861763.4</v>
      </c>
      <c r="U48" s="47">
        <f>T48/(M48-1)</f>
        <v>109792541486176.34</v>
      </c>
      <c r="V48" s="44">
        <f>(SQRT(O48)/P48)*100</f>
        <v>26.944607233562884</v>
      </c>
      <c r="W48" s="44">
        <f>L48^2</f>
        <v>69503484.765625</v>
      </c>
      <c r="X48" s="44">
        <f>V48^2</f>
        <v>726.01185897096934</v>
      </c>
      <c r="Y48" s="44">
        <f>K48/$K$18</f>
        <v>0.41684374999999996</v>
      </c>
      <c r="Z48" s="47">
        <f>(W48*X48)/Y48</f>
        <v>121053402335.17201</v>
      </c>
      <c r="AA48" s="44">
        <f>L48*X48</f>
        <v>6052670.1167585999</v>
      </c>
    </row>
    <row r="49" spans="2:27" x14ac:dyDescent="0.75">
      <c r="B49" s="4" t="s">
        <v>19</v>
      </c>
      <c r="C49" s="4">
        <v>3200</v>
      </c>
      <c r="D49" s="3"/>
      <c r="E49" s="3"/>
      <c r="F49" s="3"/>
      <c r="G49" s="3"/>
      <c r="H49" s="3"/>
      <c r="J49" s="25" t="s">
        <v>21</v>
      </c>
      <c r="K49" s="25">
        <f>$C$26</f>
        <v>559.93600000000004</v>
      </c>
      <c r="L49" s="22">
        <f t="shared" ref="L49:L51" si="26">(K49*10000)/$M$7</f>
        <v>3499.6</v>
      </c>
      <c r="M49" s="23">
        <v>7</v>
      </c>
      <c r="N49" s="43">
        <f t="shared" ref="N49:N51" si="27">L49*(L49-M49)/M49</f>
        <v>1746100.4228571428</v>
      </c>
      <c r="O49" s="43">
        <f>_xlfn.VAR.S(G26:G32)</f>
        <v>1.5314285714285727</v>
      </c>
      <c r="P49" s="43">
        <f>AVERAGE(G26:G32)</f>
        <v>6.2157142857142853</v>
      </c>
      <c r="Q49" s="44">
        <f t="shared" ref="Q49:Q51" si="28">P49*L49</f>
        <v>21752.513714285713</v>
      </c>
      <c r="R49" s="47">
        <f t="shared" ref="R49:R51" si="29">(L49^2)*O49/M49</f>
        <v>2679387.4635755126</v>
      </c>
      <c r="S49" s="47">
        <f t="shared" ref="S49:S51" si="30">N49*(O49)</f>
        <v>2674028.0761469407</v>
      </c>
      <c r="T49" s="47">
        <f t="shared" ref="T49:T51" si="31">S49^2</f>
        <v>7150426152022.1094</v>
      </c>
      <c r="U49" s="47">
        <f t="shared" ref="U49:U51" si="32">T49/(M49-1)</f>
        <v>1191737692003.6848</v>
      </c>
      <c r="V49" s="44">
        <f t="shared" ref="V49:V51" si="33">(SQRT(O49)/P49)*100</f>
        <v>19.909361367692693</v>
      </c>
      <c r="W49" s="44">
        <f t="shared" ref="W49:W51" si="34">L49^2</f>
        <v>12247200.16</v>
      </c>
      <c r="X49" s="44">
        <f t="shared" ref="X49:X51" si="35">V49^2</f>
        <v>396.38267006937423</v>
      </c>
      <c r="Y49" s="44">
        <f t="shared" ref="Y49:Y51" si="36">K49/$K$18</f>
        <v>0.17498</v>
      </c>
      <c r="Z49" s="47">
        <f t="shared" ref="Z49:Z51" si="37">(W49*X49)/Y49</f>
        <v>27743615843.495644</v>
      </c>
      <c r="AA49" s="44">
        <f t="shared" ref="AA49:AA51" si="38">L49*X49</f>
        <v>1387180.7921747819</v>
      </c>
    </row>
    <row r="50" spans="2:27" x14ac:dyDescent="0.75">
      <c r="J50" s="21" t="s">
        <v>22</v>
      </c>
      <c r="K50" s="21">
        <f>$C$33</f>
        <v>552.92899999999997</v>
      </c>
      <c r="L50" s="22">
        <f t="shared" si="26"/>
        <v>3455.8062500000001</v>
      </c>
      <c r="M50" s="23">
        <v>6</v>
      </c>
      <c r="N50" s="43">
        <f t="shared" si="27"/>
        <v>1986977.0000065106</v>
      </c>
      <c r="O50" s="43">
        <f>_xlfn.VAR.S(G33:G38)</f>
        <v>3.2004399999999977</v>
      </c>
      <c r="P50" s="43">
        <f>AVERAGE(G33:G38)</f>
        <v>5.1100000000000003</v>
      </c>
      <c r="Q50" s="44">
        <f t="shared" si="28"/>
        <v>17659.169937500003</v>
      </c>
      <c r="R50" s="47">
        <f t="shared" si="29"/>
        <v>6370260.770455583</v>
      </c>
      <c r="S50" s="47">
        <f t="shared" si="30"/>
        <v>6359200.6699008327</v>
      </c>
      <c r="T50" s="47">
        <f t="shared" si="31"/>
        <v>40439433160067.203</v>
      </c>
      <c r="U50" s="47">
        <f t="shared" si="32"/>
        <v>8087886632013.4404</v>
      </c>
      <c r="V50" s="44">
        <f t="shared" si="33"/>
        <v>35.00934171255026</v>
      </c>
      <c r="W50" s="44">
        <f t="shared" si="34"/>
        <v>11942596.837539064</v>
      </c>
      <c r="X50" s="44">
        <f t="shared" si="35"/>
        <v>1225.6540071461116</v>
      </c>
      <c r="Y50" s="44">
        <f t="shared" si="36"/>
        <v>0.17279031249999996</v>
      </c>
      <c r="Z50" s="47">
        <f t="shared" si="37"/>
        <v>84712455564.66156</v>
      </c>
      <c r="AA50" s="44">
        <f t="shared" si="38"/>
        <v>4235622.7782330774</v>
      </c>
    </row>
    <row r="51" spans="2:27" x14ac:dyDescent="0.75">
      <c r="J51" s="30" t="s">
        <v>23</v>
      </c>
      <c r="K51" s="30">
        <f>$C$39</f>
        <v>753.23500000000001</v>
      </c>
      <c r="L51" s="31">
        <f t="shared" si="26"/>
        <v>4707.71875</v>
      </c>
      <c r="M51" s="32">
        <v>10</v>
      </c>
      <c r="N51" s="45">
        <f t="shared" si="27"/>
        <v>2211553.8641601563</v>
      </c>
      <c r="O51" s="45">
        <f>_xlfn.VAR.S(G39:G48)</f>
        <v>0.42798222222222648</v>
      </c>
      <c r="P51" s="45">
        <f>AVERAGE(G39:G48)</f>
        <v>5.8739999999999997</v>
      </c>
      <c r="Q51" s="46">
        <f t="shared" si="28"/>
        <v>27653.1399375</v>
      </c>
      <c r="R51" s="48">
        <f t="shared" si="29"/>
        <v>948520.55727963778</v>
      </c>
      <c r="S51" s="48">
        <f t="shared" si="30"/>
        <v>946505.73734741576</v>
      </c>
      <c r="T51" s="48">
        <f t="shared" si="31"/>
        <v>895873110831.5752</v>
      </c>
      <c r="U51" s="48">
        <f t="shared" si="32"/>
        <v>99541456759.063904</v>
      </c>
      <c r="V51" s="46">
        <f t="shared" si="33"/>
        <v>11.137274466251819</v>
      </c>
      <c r="W51" s="46">
        <f t="shared" si="34"/>
        <v>22162615.829101563</v>
      </c>
      <c r="X51" s="46">
        <f t="shared" si="35"/>
        <v>124.03888253662474</v>
      </c>
      <c r="Y51" s="46">
        <f t="shared" si="36"/>
        <v>0.23538593749999998</v>
      </c>
      <c r="Z51" s="48">
        <f t="shared" si="37"/>
        <v>11678803460.934317</v>
      </c>
      <c r="AA51" s="46">
        <f t="shared" si="38"/>
        <v>583940.17304671591</v>
      </c>
    </row>
    <row r="52" spans="2:27" x14ac:dyDescent="0.75">
      <c r="J52" s="21" t="s">
        <v>19</v>
      </c>
      <c r="K52" s="21">
        <f>SUM(K48:K51)</f>
        <v>3200.0000000000005</v>
      </c>
      <c r="L52" s="27">
        <f>SUM(L48:L51)</f>
        <v>20000</v>
      </c>
      <c r="M52" s="26">
        <f>SUM(M48:M51)</f>
        <v>34</v>
      </c>
      <c r="N52" s="26"/>
      <c r="O52" s="26"/>
      <c r="P52" s="26"/>
      <c r="Q52" s="26">
        <f>SUM(Q48:Q51)</f>
        <v>137966.15597564937</v>
      </c>
      <c r="R52" s="47">
        <f>SUM(R48:R51)</f>
        <v>43176903.711635813</v>
      </c>
      <c r="S52" s="47">
        <f>SUM(S48:S51)</f>
        <v>43114692.078988448</v>
      </c>
      <c r="T52" s="26"/>
      <c r="U52" s="28">
        <f>SUM(U48:U51)</f>
        <v>119171707266952.53</v>
      </c>
      <c r="V52" s="26"/>
      <c r="W52" s="26"/>
      <c r="X52" s="26"/>
      <c r="Y52" s="33" t="s">
        <v>54</v>
      </c>
      <c r="Z52" s="26">
        <f>SUM(Z48:Z51)</f>
        <v>245188277204.26355</v>
      </c>
      <c r="AA52" s="26">
        <f>SUM(AA48:AA51)</f>
        <v>12259413.860213175</v>
      </c>
    </row>
    <row r="53" spans="2:27" ht="26" x14ac:dyDescent="0.75">
      <c r="O53" s="18"/>
      <c r="P53" s="18"/>
      <c r="Q53" s="18"/>
      <c r="R53" s="18"/>
      <c r="S53" s="34" t="s">
        <v>52</v>
      </c>
      <c r="T53" s="18"/>
      <c r="U53" s="18"/>
      <c r="V53" s="18"/>
      <c r="W53" s="18"/>
      <c r="X53" s="18"/>
      <c r="Y53" s="18"/>
      <c r="Z53" s="18"/>
      <c r="AA53" s="18"/>
    </row>
    <row r="54" spans="2:27" x14ac:dyDescent="0.75">
      <c r="O54" s="18"/>
      <c r="P54" s="35" t="s">
        <v>47</v>
      </c>
      <c r="Q54" s="36">
        <f>Q52/L52</f>
        <v>6.8983077987824686</v>
      </c>
      <c r="R54" s="18"/>
      <c r="S54" s="52">
        <f>S52^2</f>
        <v>1858876673065989.3</v>
      </c>
      <c r="T54" s="38" t="s">
        <v>58</v>
      </c>
      <c r="U54" s="39">
        <v>1</v>
      </c>
      <c r="V54" s="40" t="s">
        <v>56</v>
      </c>
      <c r="W54" s="41">
        <f>Q57</f>
        <v>2.1314495455597742</v>
      </c>
      <c r="X54" s="38" t="s">
        <v>59</v>
      </c>
      <c r="Y54" s="39">
        <v>1</v>
      </c>
      <c r="Z54" s="40" t="s">
        <v>56</v>
      </c>
      <c r="AA54" s="41">
        <f>Q57</f>
        <v>2.1314495455597742</v>
      </c>
    </row>
    <row r="55" spans="2:27" x14ac:dyDescent="0.75">
      <c r="O55" s="18"/>
      <c r="P55" s="35" t="s">
        <v>50</v>
      </c>
      <c r="Q55" s="36">
        <f>R52/(L52^2)</f>
        <v>0.10794225927908953</v>
      </c>
      <c r="R55" s="18"/>
      <c r="S55" s="18"/>
      <c r="T55" s="38"/>
      <c r="U55" s="39"/>
      <c r="V55" s="40" t="s">
        <v>55</v>
      </c>
      <c r="W55" s="41">
        <f>$Z$52/(($L$18^2)*(10^2/W54^2)+$AA$52)</f>
        <v>27.809010690679475</v>
      </c>
      <c r="X55" s="38"/>
      <c r="Y55" s="39"/>
      <c r="Z55" s="40" t="s">
        <v>55</v>
      </c>
      <c r="AA55" s="41">
        <f>$Z$52/(($L$18^2)*(5^2/AA54^2)+$AA$52)</f>
        <v>110.77396560365972</v>
      </c>
    </row>
    <row r="56" spans="2:27" x14ac:dyDescent="0.75">
      <c r="O56" s="18"/>
      <c r="P56" s="35" t="s">
        <v>51</v>
      </c>
      <c r="Q56" s="24">
        <f>S54/U52</f>
        <v>15.598305299948269</v>
      </c>
      <c r="R56" s="18"/>
      <c r="S56" s="18"/>
      <c r="T56" s="38"/>
      <c r="U56" s="39"/>
      <c r="V56" s="40" t="s">
        <v>57</v>
      </c>
      <c r="W56" s="42">
        <f>ROUNDDOWN(W55,0)</f>
        <v>27</v>
      </c>
      <c r="X56" s="38"/>
      <c r="Y56" s="39"/>
      <c r="Z56" s="40" t="s">
        <v>57</v>
      </c>
      <c r="AA56" s="42">
        <f>ROUNDDOWN(AA55,0)</f>
        <v>110</v>
      </c>
    </row>
    <row r="57" spans="2:27" x14ac:dyDescent="0.75">
      <c r="O57" s="18"/>
      <c r="P57" s="35" t="s">
        <v>53</v>
      </c>
      <c r="Q57" s="36">
        <f>_xlfn.T.INV(0.975,15)</f>
        <v>2.1314495455597742</v>
      </c>
      <c r="R57" s="18"/>
      <c r="S57" s="18"/>
      <c r="T57" s="38"/>
      <c r="U57" s="38">
        <v>2</v>
      </c>
      <c r="V57" s="40" t="s">
        <v>56</v>
      </c>
      <c r="W57" s="41">
        <f>_xlfn.T.INV(0.975,W56-1)</f>
        <v>2.0555294386428731</v>
      </c>
      <c r="X57" s="38"/>
      <c r="Y57" s="38">
        <v>2</v>
      </c>
      <c r="Z57" s="40" t="s">
        <v>56</v>
      </c>
      <c r="AA57" s="41">
        <f>_xlfn.T.INV(0.975,AA56-1)</f>
        <v>1.9819674897364858</v>
      </c>
    </row>
    <row r="58" spans="2:27" x14ac:dyDescent="0.75">
      <c r="O58" s="18"/>
      <c r="P58" s="35" t="s">
        <v>48</v>
      </c>
      <c r="Q58" s="54">
        <f>Q57*(SQRT(Q55))</f>
        <v>0.70027852551549663</v>
      </c>
      <c r="R58" s="18"/>
      <c r="S58" s="18"/>
      <c r="T58" s="38"/>
      <c r="U58" s="38"/>
      <c r="V58" s="40" t="s">
        <v>55</v>
      </c>
      <c r="W58" s="41">
        <f>$Z$52/(($L$18^2)*(10^2/W57^2)+$AA$52)</f>
        <v>25.865750354029384</v>
      </c>
      <c r="X58" s="38"/>
      <c r="Y58" s="38"/>
      <c r="Z58" s="40" t="s">
        <v>55</v>
      </c>
      <c r="AA58" s="41">
        <f>$Z$52/(($L$18^2)*(5^2/AA57^2)+$AA$52)</f>
        <v>95.853136161099414</v>
      </c>
    </row>
    <row r="59" spans="2:27" x14ac:dyDescent="0.75">
      <c r="O59" s="18"/>
      <c r="P59" s="35" t="s">
        <v>49</v>
      </c>
      <c r="Q59" s="55">
        <f>Q58/Q54</f>
        <v>0.10151453746947821</v>
      </c>
      <c r="R59" s="18"/>
      <c r="S59" s="18"/>
      <c r="T59" s="38"/>
      <c r="U59" s="38"/>
      <c r="V59" s="40" t="s">
        <v>57</v>
      </c>
      <c r="W59" s="42">
        <f>ROUNDDOWN(W58,0)</f>
        <v>25</v>
      </c>
      <c r="X59" s="38"/>
      <c r="Y59" s="38"/>
      <c r="Z59" s="40" t="s">
        <v>57</v>
      </c>
      <c r="AA59" s="42">
        <f>ROUNDDOWN(AA58,0)</f>
        <v>95</v>
      </c>
    </row>
    <row r="60" spans="2:27" x14ac:dyDescent="0.75">
      <c r="O60" s="18"/>
      <c r="P60" s="18"/>
      <c r="Q60" s="18"/>
      <c r="R60" s="18"/>
      <c r="S60" s="18"/>
      <c r="T60" s="38"/>
      <c r="U60" s="38">
        <v>3</v>
      </c>
      <c r="V60" s="40" t="s">
        <v>56</v>
      </c>
      <c r="W60" s="41">
        <f>_xlfn.T.INV(0.975,W59-1)</f>
        <v>2.0638985616280254</v>
      </c>
      <c r="X60" s="38"/>
      <c r="Y60" s="38">
        <v>3</v>
      </c>
      <c r="Z60" s="40" t="s">
        <v>56</v>
      </c>
      <c r="AA60" s="41">
        <f>_xlfn.T.INV(0.975,AA59-1)</f>
        <v>1.9855234418666059</v>
      </c>
    </row>
    <row r="61" spans="2:27" x14ac:dyDescent="0.75">
      <c r="O61" s="18"/>
      <c r="P61" s="18"/>
      <c r="Q61" s="18"/>
      <c r="R61" s="18"/>
      <c r="S61" s="18"/>
      <c r="T61" s="38"/>
      <c r="U61" s="38"/>
      <c r="V61" s="40" t="s">
        <v>55</v>
      </c>
      <c r="W61" s="41">
        <f>$Z$52/(($L$18^2)*(10^2/W60^2)+$AA$52)</f>
        <v>26.076529641498208</v>
      </c>
      <c r="X61" s="38"/>
      <c r="Y61" s="38"/>
      <c r="Z61" s="40" t="s">
        <v>55</v>
      </c>
      <c r="AA61" s="41">
        <f>$Z$52/(($L$18^2)*(5^2/AA60^2)+$AA$52)</f>
        <v>96.195739206442397</v>
      </c>
    </row>
    <row r="62" spans="2:27" ht="15.5" thickBot="1" x14ac:dyDescent="0.9">
      <c r="O62" s="18"/>
      <c r="P62" s="18"/>
      <c r="Q62" s="18"/>
      <c r="R62" s="18"/>
      <c r="S62" s="18"/>
      <c r="T62" s="38"/>
      <c r="U62" s="38"/>
      <c r="V62" s="40" t="s">
        <v>57</v>
      </c>
      <c r="W62" s="53">
        <f>ROUNDDOWN(W61,0)</f>
        <v>26</v>
      </c>
      <c r="X62" s="38"/>
      <c r="Y62" s="38"/>
      <c r="Z62" s="40" t="s">
        <v>57</v>
      </c>
      <c r="AA62" s="53">
        <f>ROUNDDOWN(AA61,0)</f>
        <v>96</v>
      </c>
    </row>
    <row r="63" spans="2:27" ht="16.5" thickBot="1" x14ac:dyDescent="0.9">
      <c r="J63" s="49" t="s">
        <v>61</v>
      </c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1"/>
    </row>
    <row r="64" spans="2:27" ht="26.75" thickBot="1" x14ac:dyDescent="0.9">
      <c r="J64" s="29" t="s">
        <v>8</v>
      </c>
      <c r="K64" s="29" t="s">
        <v>10</v>
      </c>
      <c r="L64" s="19" t="s">
        <v>24</v>
      </c>
      <c r="M64" s="20" t="s">
        <v>25</v>
      </c>
      <c r="N64" s="20" t="s">
        <v>26</v>
      </c>
      <c r="O64" s="20" t="s">
        <v>27</v>
      </c>
      <c r="P64" s="20" t="s">
        <v>45</v>
      </c>
      <c r="Q64" s="20" t="s">
        <v>46</v>
      </c>
      <c r="R64" s="20" t="s">
        <v>33</v>
      </c>
      <c r="S64" s="20" t="s">
        <v>34</v>
      </c>
      <c r="T64" s="20" t="s">
        <v>35</v>
      </c>
      <c r="U64" s="20" t="s">
        <v>36</v>
      </c>
      <c r="V64" s="20" t="s">
        <v>37</v>
      </c>
      <c r="W64" s="20" t="s">
        <v>38</v>
      </c>
      <c r="X64" s="20" t="s">
        <v>39</v>
      </c>
      <c r="Y64" s="20" t="s">
        <v>40</v>
      </c>
      <c r="Z64" s="20" t="s">
        <v>41</v>
      </c>
      <c r="AA64" s="20" t="s">
        <v>42</v>
      </c>
    </row>
    <row r="65" spans="10:27" ht="15.5" thickTop="1" x14ac:dyDescent="0.75">
      <c r="J65" s="21" t="s">
        <v>20</v>
      </c>
      <c r="K65" s="21">
        <f>$C$15</f>
        <v>1333.9</v>
      </c>
      <c r="L65" s="22">
        <f>(K65*10000)/$M$7</f>
        <v>8336.875</v>
      </c>
      <c r="M65" s="23">
        <v>11</v>
      </c>
      <c r="N65" s="43">
        <f>L65*(L65-M65)/M65</f>
        <v>6310161.7400568184</v>
      </c>
      <c r="O65" s="43">
        <f>_xlfn.VAR.S(H15:H25)</f>
        <v>7.3210418181817882</v>
      </c>
      <c r="P65" s="43">
        <f>AVERAGE(H15:H25)</f>
        <v>10.457272727272729</v>
      </c>
      <c r="Q65" s="44">
        <f>P65*L65</f>
        <v>87180.975568181835</v>
      </c>
      <c r="R65" s="47">
        <f>(L65^2)*O65/M65</f>
        <v>46257992.58895468</v>
      </c>
      <c r="S65" s="47">
        <f>N65*(O65)</f>
        <v>46196957.978446729</v>
      </c>
      <c r="T65" s="47">
        <f>S65^2</f>
        <v>2134158926462373</v>
      </c>
      <c r="U65" s="47">
        <f>T65/(M65-1)</f>
        <v>213415892646237.31</v>
      </c>
      <c r="V65" s="44">
        <f>(SQRT(O65)/P65)*100</f>
        <v>25.874264246041314</v>
      </c>
      <c r="W65" s="44">
        <f>L65^2</f>
        <v>69503484.765625</v>
      </c>
      <c r="X65" s="44">
        <f>V65^2</f>
        <v>669.47755027397181</v>
      </c>
      <c r="Y65" s="44">
        <f>K65/$K$18</f>
        <v>0.41684374999999996</v>
      </c>
      <c r="Z65" s="47">
        <f>(W65*X65)/Y65</f>
        <v>111627013038.80638</v>
      </c>
      <c r="AA65" s="44">
        <f>L65*X65</f>
        <v>5581350.6519403188</v>
      </c>
    </row>
    <row r="66" spans="10:27" x14ac:dyDescent="0.75">
      <c r="J66" s="25" t="s">
        <v>21</v>
      </c>
      <c r="K66" s="25">
        <f>$C$26</f>
        <v>559.93600000000004</v>
      </c>
      <c r="L66" s="22">
        <f t="shared" ref="L66:L68" si="39">(K66*10000)/$M$7</f>
        <v>3499.6</v>
      </c>
      <c r="M66" s="23">
        <v>7</v>
      </c>
      <c r="N66" s="43">
        <f t="shared" ref="N66:N68" si="40">L66*(L66-M66)/M66</f>
        <v>1746100.4228571428</v>
      </c>
      <c r="O66" s="43">
        <f>_xlfn.VAR.S(H26:H32)</f>
        <v>1.2425238095237983</v>
      </c>
      <c r="P66" s="43">
        <f>AVERAGE(H26:H32)</f>
        <v>7.6428571428571432</v>
      </c>
      <c r="Q66" s="44">
        <f t="shared" ref="Q66:Q68" si="41">P66*L66</f>
        <v>26746.942857142858</v>
      </c>
      <c r="R66" s="47">
        <f t="shared" ref="R66:R68" si="42">(L66^2)*O66/M66</f>
        <v>2173919.6855433816</v>
      </c>
      <c r="S66" s="47">
        <f t="shared" ref="S66:S68" si="43">N66*(O66)</f>
        <v>2169571.3492195723</v>
      </c>
      <c r="T66" s="47">
        <f t="shared" ref="T66:T68" si="44">S66^2</f>
        <v>4707039839354.4355</v>
      </c>
      <c r="U66" s="47">
        <f t="shared" ref="U66:U68" si="45">T66/(M66-1)</f>
        <v>784506639892.40588</v>
      </c>
      <c r="V66" s="44">
        <f t="shared" ref="V66:V68" si="46">(SQRT(O66)/P66)*100</f>
        <v>14.5846703611625</v>
      </c>
      <c r="W66" s="44">
        <f t="shared" ref="W66:W68" si="47">L66^2</f>
        <v>12247200.16</v>
      </c>
      <c r="X66" s="44">
        <f t="shared" ref="X66:X68" si="48">V66^2</f>
        <v>212.71260954377189</v>
      </c>
      <c r="Y66" s="44">
        <f t="shared" ref="Y66:Y68" si="49">K66/$K$18</f>
        <v>0.17498</v>
      </c>
      <c r="Z66" s="47">
        <f t="shared" ref="Z66:Z68" si="50">(W66*X66)/Y66</f>
        <v>14888180967.187683</v>
      </c>
      <c r="AA66" s="44">
        <f t="shared" ref="AA66:AA68" si="51">L66*X66</f>
        <v>744409.04835938406</v>
      </c>
    </row>
    <row r="67" spans="10:27" x14ac:dyDescent="0.75">
      <c r="J67" s="21" t="s">
        <v>22</v>
      </c>
      <c r="K67" s="21">
        <f>$C$33</f>
        <v>552.92899999999997</v>
      </c>
      <c r="L67" s="22">
        <f t="shared" si="39"/>
        <v>3455.8062500000001</v>
      </c>
      <c r="M67" s="23">
        <v>6</v>
      </c>
      <c r="N67" s="43">
        <f t="shared" si="40"/>
        <v>1986977.0000065106</v>
      </c>
      <c r="O67" s="43">
        <f>_xlfn.VAR.S(H33:H38)</f>
        <v>4.9909866666666627</v>
      </c>
      <c r="P67" s="43">
        <f>AVERAGE(H33:H38)</f>
        <v>8.7133333333333329</v>
      </c>
      <c r="Q67" s="44">
        <f t="shared" si="41"/>
        <v>30111.591791666666</v>
      </c>
      <c r="R67" s="47">
        <f t="shared" si="42"/>
        <v>9934223.5969221536</v>
      </c>
      <c r="S67" s="47">
        <f t="shared" si="43"/>
        <v>9916975.7140058205</v>
      </c>
      <c r="T67" s="47">
        <f t="shared" si="44"/>
        <v>98346407312181.25</v>
      </c>
      <c r="U67" s="47">
        <f t="shared" si="45"/>
        <v>19669281462436.25</v>
      </c>
      <c r="V67" s="44">
        <f t="shared" si="46"/>
        <v>25.639460127586123</v>
      </c>
      <c r="W67" s="44">
        <f t="shared" si="47"/>
        <v>11942596.837539064</v>
      </c>
      <c r="X67" s="44">
        <f t="shared" si="48"/>
        <v>657.38191563407861</v>
      </c>
      <c r="Y67" s="44">
        <f t="shared" si="49"/>
        <v>0.17279031249999996</v>
      </c>
      <c r="Z67" s="47">
        <f t="shared" si="50"/>
        <v>45435690653.704445</v>
      </c>
      <c r="AA67" s="44">
        <f t="shared" si="51"/>
        <v>2271784.5326852216</v>
      </c>
    </row>
    <row r="68" spans="10:27" x14ac:dyDescent="0.75">
      <c r="J68" s="30" t="s">
        <v>23</v>
      </c>
      <c r="K68" s="30">
        <f>$C$39</f>
        <v>753.23500000000001</v>
      </c>
      <c r="L68" s="31">
        <f t="shared" si="39"/>
        <v>4707.71875</v>
      </c>
      <c r="M68" s="32">
        <v>10</v>
      </c>
      <c r="N68" s="45">
        <f t="shared" si="40"/>
        <v>2211553.8641601563</v>
      </c>
      <c r="O68" s="45">
        <f>_xlfn.VAR.S(H39:H48)</f>
        <v>0.310161111111111</v>
      </c>
      <c r="P68" s="45">
        <f>AVERAGE(H39:H48)</f>
        <v>5.8849999999999998</v>
      </c>
      <c r="Q68" s="46">
        <f t="shared" si="41"/>
        <v>27704.924843749999</v>
      </c>
      <c r="R68" s="48">
        <f t="shared" si="42"/>
        <v>687398.15506828367</v>
      </c>
      <c r="S68" s="48">
        <f t="shared" si="43"/>
        <v>685938.00378998509</v>
      </c>
      <c r="T68" s="48">
        <f t="shared" si="44"/>
        <v>470510945043.38959</v>
      </c>
      <c r="U68" s="48">
        <f t="shared" si="45"/>
        <v>52278993893.709953</v>
      </c>
      <c r="V68" s="46">
        <f t="shared" si="46"/>
        <v>9.4634001620806352</v>
      </c>
      <c r="W68" s="46">
        <f t="shared" si="47"/>
        <v>22162615.829101563</v>
      </c>
      <c r="X68" s="46">
        <f t="shared" si="48"/>
        <v>89.55594262766779</v>
      </c>
      <c r="Y68" s="46">
        <f t="shared" si="49"/>
        <v>0.23538593749999998</v>
      </c>
      <c r="Z68" s="48">
        <f t="shared" si="50"/>
        <v>8432083805.6439199</v>
      </c>
      <c r="AA68" s="46">
        <f t="shared" si="51"/>
        <v>421604.19028219592</v>
      </c>
    </row>
    <row r="69" spans="10:27" x14ac:dyDescent="0.75">
      <c r="J69" s="21" t="s">
        <v>19</v>
      </c>
      <c r="K69" s="21">
        <f>SUM(K65:K68)</f>
        <v>3200.0000000000005</v>
      </c>
      <c r="L69" s="27">
        <f>SUM(L65:L68)</f>
        <v>20000</v>
      </c>
      <c r="M69" s="26">
        <f>SUM(M65:M68)</f>
        <v>34</v>
      </c>
      <c r="N69" s="26"/>
      <c r="O69" s="26"/>
      <c r="P69" s="26"/>
      <c r="Q69" s="26">
        <f>SUM(Q65:Q68)</f>
        <v>171744.43506074135</v>
      </c>
      <c r="R69" s="47">
        <f>SUM(R65:R68)</f>
        <v>59053534.026488498</v>
      </c>
      <c r="S69" s="47">
        <f>SUM(S65:S68)</f>
        <v>58969443.045462109</v>
      </c>
      <c r="T69" s="26"/>
      <c r="U69" s="28">
        <f>SUM(U65:U68)</f>
        <v>233921959742459.69</v>
      </c>
      <c r="V69" s="26"/>
      <c r="W69" s="26"/>
      <c r="X69" s="26"/>
      <c r="Y69" s="33" t="s">
        <v>54</v>
      </c>
      <c r="Z69" s="26">
        <f>SUM(Z65:Z68)</f>
        <v>180382968465.34244</v>
      </c>
      <c r="AA69" s="26">
        <f>SUM(AA65:AA68)</f>
        <v>9019148.4232671205</v>
      </c>
    </row>
    <row r="70" spans="10:27" ht="26" x14ac:dyDescent="0.75">
      <c r="O70" s="18"/>
      <c r="P70" s="18"/>
      <c r="Q70" s="18"/>
      <c r="R70" s="18"/>
      <c r="S70" s="34" t="s">
        <v>52</v>
      </c>
      <c r="T70" s="18"/>
      <c r="U70" s="18"/>
      <c r="V70" s="18"/>
      <c r="W70" s="18"/>
      <c r="X70" s="18"/>
      <c r="Y70" s="18"/>
      <c r="Z70" s="18"/>
      <c r="AA70" s="18"/>
    </row>
    <row r="71" spans="10:27" x14ac:dyDescent="0.75">
      <c r="O71" s="18"/>
      <c r="P71" s="35" t="s">
        <v>47</v>
      </c>
      <c r="Q71" s="36">
        <f>Q69/L69</f>
        <v>8.5872217530370669</v>
      </c>
      <c r="R71" s="18"/>
      <c r="S71" s="52">
        <f>S69^2</f>
        <v>3477395213091999.5</v>
      </c>
      <c r="T71" s="38" t="s">
        <v>58</v>
      </c>
      <c r="U71" s="39">
        <v>1</v>
      </c>
      <c r="V71" s="40" t="s">
        <v>56</v>
      </c>
      <c r="W71" s="41">
        <f>Q74</f>
        <v>2.1447866879178035</v>
      </c>
      <c r="X71" s="38" t="s">
        <v>59</v>
      </c>
      <c r="Y71" s="39">
        <v>1</v>
      </c>
      <c r="Z71" s="40" t="s">
        <v>56</v>
      </c>
      <c r="AA71" s="41">
        <f>Q74</f>
        <v>2.1447866879178035</v>
      </c>
    </row>
    <row r="72" spans="10:27" x14ac:dyDescent="0.75">
      <c r="O72" s="18"/>
      <c r="P72" s="35" t="s">
        <v>50</v>
      </c>
      <c r="Q72" s="36">
        <f>R69/(L69^2)</f>
        <v>0.14763383506622124</v>
      </c>
      <c r="R72" s="18"/>
      <c r="S72" s="18"/>
      <c r="T72" s="38"/>
      <c r="U72" s="39"/>
      <c r="V72" s="40" t="s">
        <v>55</v>
      </c>
      <c r="W72" s="41">
        <f>$Z$69/(($L$18^2)*(10^2/W71^2)+$AA$69)</f>
        <v>20.723042644692761</v>
      </c>
      <c r="X72" s="38"/>
      <c r="Y72" s="39"/>
      <c r="Z72" s="40" t="s">
        <v>55</v>
      </c>
      <c r="AA72" s="41">
        <f>$Z$69/(($L$18^2)*(5^2/W71^2)+$AA$69)</f>
        <v>82.635302344604398</v>
      </c>
    </row>
    <row r="73" spans="10:27" x14ac:dyDescent="0.75">
      <c r="O73" s="18"/>
      <c r="P73" s="35" t="s">
        <v>51</v>
      </c>
      <c r="Q73" s="24">
        <f>S71/U69</f>
        <v>14.865621068327643</v>
      </c>
      <c r="R73" s="18"/>
      <c r="S73" s="18"/>
      <c r="T73" s="38"/>
      <c r="U73" s="39"/>
      <c r="V73" s="40" t="s">
        <v>57</v>
      </c>
      <c r="W73" s="42">
        <f>ROUNDDOWN(W72,0)</f>
        <v>20</v>
      </c>
      <c r="X73" s="38"/>
      <c r="Y73" s="39"/>
      <c r="Z73" s="40" t="s">
        <v>57</v>
      </c>
      <c r="AA73" s="42">
        <f>ROUNDDOWN(AA72,0)</f>
        <v>82</v>
      </c>
    </row>
    <row r="74" spans="10:27" x14ac:dyDescent="0.75">
      <c r="O74" s="18"/>
      <c r="P74" s="35" t="s">
        <v>53</v>
      </c>
      <c r="Q74" s="36">
        <f>_xlfn.T.INV(0.975,14)</f>
        <v>2.1447866879178035</v>
      </c>
      <c r="R74" s="18"/>
      <c r="S74" s="18"/>
      <c r="T74" s="38"/>
      <c r="U74" s="38">
        <v>2</v>
      </c>
      <c r="V74" s="40" t="s">
        <v>56</v>
      </c>
      <c r="W74" s="41">
        <f>_xlfn.T.INV(0.975,W73-1)</f>
        <v>2.0930240544083087</v>
      </c>
      <c r="X74" s="38"/>
      <c r="Y74" s="38">
        <v>2</v>
      </c>
      <c r="Z74" s="40" t="s">
        <v>56</v>
      </c>
      <c r="AA74" s="41">
        <f>_xlfn.T.INV(0.975,AA73-1)</f>
        <v>1.9896863234569038</v>
      </c>
    </row>
    <row r="75" spans="10:27" x14ac:dyDescent="0.75">
      <c r="O75" s="18"/>
      <c r="P75" s="35" t="s">
        <v>48</v>
      </c>
      <c r="Q75" s="54">
        <f>Q74*(SQRT(Q72))</f>
        <v>0.82409457690045429</v>
      </c>
      <c r="R75" s="18"/>
      <c r="S75" s="18"/>
      <c r="T75" s="38"/>
      <c r="U75" s="38"/>
      <c r="V75" s="40" t="s">
        <v>55</v>
      </c>
      <c r="W75" s="41">
        <f>$Z$69/(($L$18^2)*(10^2/W74^2)+$AA$69)</f>
        <v>19.735821470835049</v>
      </c>
      <c r="X75" s="38"/>
      <c r="Y75" s="38"/>
      <c r="Z75" s="40" t="s">
        <v>55</v>
      </c>
      <c r="AA75" s="41">
        <f>$Z$69/(($L$18^2)*(5^2/AA74^2)+$AA$69)</f>
        <v>71.156872554989036</v>
      </c>
    </row>
    <row r="76" spans="10:27" x14ac:dyDescent="0.75">
      <c r="O76" s="18"/>
      <c r="P76" s="35" t="s">
        <v>49</v>
      </c>
      <c r="Q76" s="55">
        <f>Q75/Q71</f>
        <v>9.5967543473416697E-2</v>
      </c>
      <c r="R76" s="18"/>
      <c r="S76" s="18"/>
      <c r="T76" s="38"/>
      <c r="U76" s="38"/>
      <c r="V76" s="40" t="s">
        <v>57</v>
      </c>
      <c r="W76" s="42">
        <f>ROUNDDOWN(W75,0)</f>
        <v>19</v>
      </c>
      <c r="X76" s="38"/>
      <c r="Y76" s="38"/>
      <c r="Z76" s="40" t="s">
        <v>57</v>
      </c>
      <c r="AA76" s="42">
        <f>ROUNDDOWN(AA75,0)</f>
        <v>71</v>
      </c>
    </row>
    <row r="77" spans="10:27" x14ac:dyDescent="0.75">
      <c r="O77" s="18"/>
      <c r="P77" s="18"/>
      <c r="Q77" s="18"/>
      <c r="R77" s="18"/>
      <c r="S77" s="18"/>
      <c r="T77" s="38"/>
      <c r="U77" s="38">
        <v>3</v>
      </c>
      <c r="V77" s="40" t="s">
        <v>56</v>
      </c>
      <c r="W77" s="41">
        <f>_xlfn.T.INV(0.975,W76-1)</f>
        <v>2.1009220402410378</v>
      </c>
      <c r="X77" s="38"/>
      <c r="Y77" s="38">
        <v>3</v>
      </c>
      <c r="Z77" s="40" t="s">
        <v>56</v>
      </c>
      <c r="AA77" s="41">
        <f>_xlfn.T.INV(0.975,AA76-1)</f>
        <v>1.9944371117711854</v>
      </c>
    </row>
    <row r="78" spans="10:27" x14ac:dyDescent="0.75">
      <c r="O78" s="18"/>
      <c r="P78" s="18"/>
      <c r="Q78" s="18"/>
      <c r="R78" s="18"/>
      <c r="S78" s="18"/>
      <c r="T78" s="38"/>
      <c r="U78" s="38"/>
      <c r="V78" s="40" t="s">
        <v>55</v>
      </c>
      <c r="W78" s="41">
        <f>$Z$69/(($L$18^2)*(10^2/W77^2)+$AA$69)</f>
        <v>19.884899606642882</v>
      </c>
      <c r="X78" s="38"/>
      <c r="Y78" s="38"/>
      <c r="Z78" s="40" t="s">
        <v>55</v>
      </c>
      <c r="AA78" s="41">
        <f>$Z$69/(($L$18^2)*(5^2/AA77^2)+$AA$69)</f>
        <v>71.495865603590829</v>
      </c>
    </row>
    <row r="79" spans="10:27" x14ac:dyDescent="0.75">
      <c r="O79" s="18"/>
      <c r="P79" s="18"/>
      <c r="Q79" s="18"/>
      <c r="R79" s="18"/>
      <c r="S79" s="18"/>
      <c r="T79" s="38"/>
      <c r="U79" s="38"/>
      <c r="V79" s="40" t="s">
        <v>57</v>
      </c>
      <c r="W79" s="53">
        <f>ROUNDDOWN(W78,0)</f>
        <v>19</v>
      </c>
      <c r="X79" s="38"/>
      <c r="Y79" s="38"/>
      <c r="Z79" s="40" t="s">
        <v>57</v>
      </c>
      <c r="AA79" s="53">
        <f>ROUNDDOWN(AA78,0)</f>
        <v>71</v>
      </c>
    </row>
  </sheetData>
  <mergeCells count="51">
    <mergeCell ref="J63:AA63"/>
    <mergeCell ref="T71:T79"/>
    <mergeCell ref="U71:U73"/>
    <mergeCell ref="X71:X79"/>
    <mergeCell ref="Y71:Y73"/>
    <mergeCell ref="U74:U76"/>
    <mergeCell ref="Y74:Y76"/>
    <mergeCell ref="U77:U79"/>
    <mergeCell ref="Y77:Y79"/>
    <mergeCell ref="J46:AA46"/>
    <mergeCell ref="T54:T62"/>
    <mergeCell ref="U54:U56"/>
    <mergeCell ref="X54:X62"/>
    <mergeCell ref="Y54:Y56"/>
    <mergeCell ref="U57:U59"/>
    <mergeCell ref="Y57:Y59"/>
    <mergeCell ref="U60:U62"/>
    <mergeCell ref="Y60:Y62"/>
    <mergeCell ref="J29:AA29"/>
    <mergeCell ref="T37:T45"/>
    <mergeCell ref="U37:U39"/>
    <mergeCell ref="X37:X45"/>
    <mergeCell ref="Y37:Y39"/>
    <mergeCell ref="U40:U42"/>
    <mergeCell ref="Y40:Y42"/>
    <mergeCell ref="U43:U45"/>
    <mergeCell ref="Y43:Y45"/>
    <mergeCell ref="J12:AA12"/>
    <mergeCell ref="T20:T28"/>
    <mergeCell ref="U20:U22"/>
    <mergeCell ref="U23:U25"/>
    <mergeCell ref="U26:U28"/>
    <mergeCell ref="X20:X28"/>
    <mergeCell ref="Y20:Y22"/>
    <mergeCell ref="Y23:Y25"/>
    <mergeCell ref="Y26:Y28"/>
    <mergeCell ref="H12:H13"/>
    <mergeCell ref="B12:B13"/>
    <mergeCell ref="C12:C13"/>
    <mergeCell ref="D12:D13"/>
    <mergeCell ref="E12:E13"/>
    <mergeCell ref="F12:F13"/>
    <mergeCell ref="G12:G13"/>
    <mergeCell ref="A5:H5"/>
    <mergeCell ref="A6:H6"/>
    <mergeCell ref="A7:H7"/>
    <mergeCell ref="A8:H8"/>
    <mergeCell ref="A9:H9"/>
    <mergeCell ref="A2:H2"/>
    <mergeCell ref="A3:H3"/>
    <mergeCell ref="A4:H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Santos</dc:creator>
  <cp:lastModifiedBy>Raissa Santos</cp:lastModifiedBy>
  <dcterms:created xsi:type="dcterms:W3CDTF">2021-11-18T19:24:02Z</dcterms:created>
  <dcterms:modified xsi:type="dcterms:W3CDTF">2021-11-19T04:04:40Z</dcterms:modified>
</cp:coreProperties>
</file>