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athalia\Nathalia\Esalq\Floresta\6 ano\2 sem\Inventario\"/>
    </mc:Choice>
  </mc:AlternateContent>
  <xr:revisionPtr revIDLastSave="0" documentId="8_{98E917C5-F8B8-411B-B877-A55406E5B9C7}" xr6:coauthVersionLast="47" xr6:coauthVersionMax="47" xr10:uidLastSave="{00000000-0000-0000-0000-000000000000}"/>
  <bookViews>
    <workbookView xWindow="-108" yWindow="-108" windowWidth="23256" windowHeight="12456" xr2:uid="{06402E52-D15F-4E34-A05F-FF68130BFF0E}"/>
  </bookViews>
  <sheets>
    <sheet name="Ex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1" i="1" l="1"/>
  <c r="AI35" i="1"/>
  <c r="AI34" i="1"/>
  <c r="AI33" i="1"/>
  <c r="AI32" i="1"/>
  <c r="AH35" i="1"/>
  <c r="AH34" i="1"/>
  <c r="AH33" i="1"/>
  <c r="AO33" i="1" s="1"/>
  <c r="AQ33" i="1" s="1"/>
  <c r="AH32" i="1"/>
  <c r="AO32" i="1" s="1"/>
  <c r="AQ32" i="1" s="1"/>
  <c r="AF36" i="1"/>
  <c r="AD35" i="1"/>
  <c r="AE35" i="1" s="1"/>
  <c r="AD34" i="1"/>
  <c r="AE34" i="1" s="1"/>
  <c r="AD33" i="1"/>
  <c r="AE33" i="1" s="1"/>
  <c r="AE32" i="1"/>
  <c r="AG32" i="1" s="1"/>
  <c r="AD32" i="1"/>
  <c r="Q41" i="1"/>
  <c r="P35" i="1"/>
  <c r="P34" i="1"/>
  <c r="P33" i="1"/>
  <c r="O35" i="1"/>
  <c r="O34" i="1"/>
  <c r="P32" i="1"/>
  <c r="O33" i="1"/>
  <c r="O32" i="1"/>
  <c r="M36" i="1"/>
  <c r="K35" i="1"/>
  <c r="L35" i="1" s="1"/>
  <c r="W35" i="1" s="1"/>
  <c r="K34" i="1"/>
  <c r="K33" i="1"/>
  <c r="K32" i="1"/>
  <c r="AJ32" i="1" l="1"/>
  <c r="AP33" i="1"/>
  <c r="AJ33" i="1"/>
  <c r="AG33" i="1"/>
  <c r="AL33" i="1" s="1"/>
  <c r="AM33" i="1" s="1"/>
  <c r="AN33" i="1" s="1"/>
  <c r="AP34" i="1"/>
  <c r="AG34" i="1"/>
  <c r="AL34" i="1" s="1"/>
  <c r="AM34" i="1" s="1"/>
  <c r="AN34" i="1" s="1"/>
  <c r="AJ34" i="1"/>
  <c r="V34" i="1"/>
  <c r="X34" i="1" s="1"/>
  <c r="K36" i="1"/>
  <c r="V35" i="1"/>
  <c r="X35" i="1" s="1"/>
  <c r="AA35" i="1" s="1"/>
  <c r="L32" i="1"/>
  <c r="N32" i="1" s="1"/>
  <c r="S32" i="1" s="1"/>
  <c r="L33" i="1"/>
  <c r="R33" i="1" s="1"/>
  <c r="AD36" i="1"/>
  <c r="L34" i="1"/>
  <c r="Q34" i="1" s="1"/>
  <c r="AO35" i="1"/>
  <c r="AQ35" i="1" s="1"/>
  <c r="AT35" i="1" s="1"/>
  <c r="AO34" i="1"/>
  <c r="AQ34" i="1" s="1"/>
  <c r="AT33" i="1"/>
  <c r="AL32" i="1"/>
  <c r="AM32" i="1" s="1"/>
  <c r="AN32" i="1" s="1"/>
  <c r="AK35" i="1"/>
  <c r="AP35" i="1"/>
  <c r="AG35" i="1"/>
  <c r="AL35" i="1" s="1"/>
  <c r="AM35" i="1" s="1"/>
  <c r="AN35" i="1" s="1"/>
  <c r="AJ35" i="1"/>
  <c r="AE36" i="1"/>
  <c r="AT38" i="1"/>
  <c r="AK32" i="1"/>
  <c r="AP38" i="1"/>
  <c r="AK33" i="1"/>
  <c r="AK34" i="1"/>
  <c r="AT32" i="1"/>
  <c r="AP32" i="1"/>
  <c r="Q35" i="1"/>
  <c r="V33" i="1"/>
  <c r="X33" i="1" s="1"/>
  <c r="V32" i="1"/>
  <c r="X32" i="1" s="1"/>
  <c r="N33" i="1"/>
  <c r="N35" i="1"/>
  <c r="W38" i="1"/>
  <c r="AA38" i="1"/>
  <c r="R35" i="1"/>
  <c r="W34" i="1" l="1"/>
  <c r="L36" i="1"/>
  <c r="W32" i="1"/>
  <c r="AA34" i="1"/>
  <c r="R34" i="1"/>
  <c r="S33" i="1"/>
  <c r="T33" i="1" s="1"/>
  <c r="U33" i="1" s="1"/>
  <c r="AJ36" i="1"/>
  <c r="AJ38" i="1" s="1"/>
  <c r="AA33" i="1"/>
  <c r="R32" i="1"/>
  <c r="AA32" i="1"/>
  <c r="S35" i="1"/>
  <c r="T35" i="1" s="1"/>
  <c r="U35" i="1" s="1"/>
  <c r="Q33" i="1"/>
  <c r="W33" i="1"/>
  <c r="N34" i="1"/>
  <c r="Q32" i="1"/>
  <c r="AT34" i="1"/>
  <c r="AT36" i="1" s="1"/>
  <c r="AN36" i="1"/>
  <c r="AL36" i="1"/>
  <c r="AL38" i="1" s="1"/>
  <c r="AK36" i="1"/>
  <c r="AJ39" i="1" s="1"/>
  <c r="AJ42" i="1" s="1"/>
  <c r="T32" i="1"/>
  <c r="U32" i="1" s="1"/>
  <c r="AJ40" i="1" l="1"/>
  <c r="AA36" i="1"/>
  <c r="R36" i="1"/>
  <c r="Q39" i="1" s="1"/>
  <c r="Q42" i="1" s="1"/>
  <c r="S34" i="1"/>
  <c r="S36" i="1" s="1"/>
  <c r="S38" i="1" s="1"/>
  <c r="AJ43" i="1"/>
  <c r="Q36" i="1"/>
  <c r="Q38" i="1" s="1"/>
  <c r="Q43" i="1" l="1"/>
  <c r="T34" i="1"/>
  <c r="U34" i="1" s="1"/>
  <c r="U36" i="1" s="1"/>
  <c r="Q40" i="1" s="1"/>
  <c r="AI16" i="1" l="1"/>
  <c r="AI15" i="1"/>
  <c r="AI14" i="1"/>
  <c r="AI13" i="1"/>
  <c r="AH16" i="1"/>
  <c r="AO16" i="1" s="1"/>
  <c r="AH15" i="1"/>
  <c r="AH14" i="1"/>
  <c r="AH13" i="1"/>
  <c r="AJ22" i="1"/>
  <c r="AP19" i="1" s="1"/>
  <c r="AF17" i="1"/>
  <c r="AD16" i="1"/>
  <c r="AE16" i="1" s="1"/>
  <c r="AD15" i="1"/>
  <c r="AE15" i="1" s="1"/>
  <c r="AD14" i="1"/>
  <c r="AE14" i="1" s="1"/>
  <c r="AD13" i="1"/>
  <c r="L14" i="1"/>
  <c r="L13" i="1"/>
  <c r="K16" i="1"/>
  <c r="L16" i="1" s="1"/>
  <c r="K15" i="1"/>
  <c r="L15" i="1" s="1"/>
  <c r="R15" i="1" s="1"/>
  <c r="K14" i="1"/>
  <c r="K13" i="1"/>
  <c r="Q22" i="1"/>
  <c r="W19" i="1" s="1"/>
  <c r="M17" i="1"/>
  <c r="P16" i="1"/>
  <c r="P15" i="1"/>
  <c r="P14" i="1"/>
  <c r="P13" i="1"/>
  <c r="O16" i="1"/>
  <c r="O15" i="1"/>
  <c r="O14" i="1"/>
  <c r="V14" i="1" s="1"/>
  <c r="O13" i="1"/>
  <c r="V13" i="1" s="1"/>
  <c r="X13" i="1" s="1"/>
  <c r="AJ14" i="1" l="1"/>
  <c r="R14" i="1"/>
  <c r="AE13" i="1"/>
  <c r="AE17" i="1" s="1"/>
  <c r="AR13" i="1"/>
  <c r="V16" i="1"/>
  <c r="X16" i="1" s="1"/>
  <c r="AA16" i="1" s="1"/>
  <c r="AA19" i="1"/>
  <c r="AO14" i="1"/>
  <c r="AQ14" i="1" s="1"/>
  <c r="AT14" i="1" s="1"/>
  <c r="AO15" i="1"/>
  <c r="AQ15" i="1" s="1"/>
  <c r="AT15" i="1" s="1"/>
  <c r="AJ16" i="1"/>
  <c r="V15" i="1"/>
  <c r="AO13" i="1"/>
  <c r="AQ13" i="1" s="1"/>
  <c r="X15" i="1"/>
  <c r="AA15" i="1" s="1"/>
  <c r="X14" i="1"/>
  <c r="AA14" i="1" s="1"/>
  <c r="AA13" i="1"/>
  <c r="AQ16" i="1"/>
  <c r="AT16" i="1" s="1"/>
  <c r="AJ15" i="1"/>
  <c r="AP15" i="1"/>
  <c r="AG15" i="1"/>
  <c r="AK15" i="1"/>
  <c r="AP14" i="1"/>
  <c r="AG14" i="1"/>
  <c r="AK14" i="1"/>
  <c r="AG16" i="1"/>
  <c r="AK16" i="1"/>
  <c r="AP16" i="1"/>
  <c r="AT19" i="1"/>
  <c r="AR16" i="1"/>
  <c r="AD17" i="1"/>
  <c r="R16" i="1"/>
  <c r="W16" i="1"/>
  <c r="Q16" i="1"/>
  <c r="W13" i="1"/>
  <c r="L17" i="1"/>
  <c r="K17" i="1"/>
  <c r="Y16" i="1"/>
  <c r="Q15" i="1"/>
  <c r="Q14" i="1"/>
  <c r="W15" i="1"/>
  <c r="N13" i="1"/>
  <c r="S13" i="1" s="1"/>
  <c r="R13" i="1"/>
  <c r="W14" i="1"/>
  <c r="N16" i="1"/>
  <c r="N15" i="1"/>
  <c r="N14" i="1"/>
  <c r="Q13" i="1"/>
  <c r="AJ13" i="1" l="1"/>
  <c r="AK13" i="1"/>
  <c r="AK17" i="1" s="1"/>
  <c r="AJ20" i="1" s="1"/>
  <c r="AJ23" i="1" s="1"/>
  <c r="AL15" i="1"/>
  <c r="AM15" i="1" s="1"/>
  <c r="AN15" i="1" s="1"/>
  <c r="AL16" i="1"/>
  <c r="S15" i="1"/>
  <c r="T15" i="1" s="1"/>
  <c r="U15" i="1" s="1"/>
  <c r="Y14" i="1"/>
  <c r="Z14" i="1" s="1"/>
  <c r="AR35" i="1"/>
  <c r="AS35" i="1" s="1"/>
  <c r="AR32" i="1"/>
  <c r="AS32" i="1" s="1"/>
  <c r="Y34" i="1"/>
  <c r="Z34" i="1" s="1"/>
  <c r="Y32" i="1"/>
  <c r="Z32" i="1" s="1"/>
  <c r="AR33" i="1"/>
  <c r="AS33" i="1" s="1"/>
  <c r="AR34" i="1"/>
  <c r="AS34" i="1" s="1"/>
  <c r="Y35" i="1"/>
  <c r="Z35" i="1" s="1"/>
  <c r="Y33" i="1"/>
  <c r="Z33" i="1" s="1"/>
  <c r="AL14" i="1"/>
  <c r="AM14" i="1" s="1"/>
  <c r="AN14" i="1" s="1"/>
  <c r="AP13" i="1"/>
  <c r="AS13" i="1" s="1"/>
  <c r="AG13" i="1"/>
  <c r="AL13" i="1" s="1"/>
  <c r="AM13" i="1" s="1"/>
  <c r="AN13" i="1" s="1"/>
  <c r="S14" i="1"/>
  <c r="T14" i="1" s="1"/>
  <c r="U14" i="1" s="1"/>
  <c r="S16" i="1"/>
  <c r="S17" i="1" s="1"/>
  <c r="S19" i="1" s="1"/>
  <c r="AR15" i="1"/>
  <c r="AS15" i="1" s="1"/>
  <c r="AR14" i="1"/>
  <c r="AS14" i="1" s="1"/>
  <c r="AT13" i="1"/>
  <c r="AT17" i="1" s="1"/>
  <c r="Z16" i="1"/>
  <c r="AA17" i="1"/>
  <c r="AS16" i="1"/>
  <c r="AJ17" i="1"/>
  <c r="AJ19" i="1" s="1"/>
  <c r="R17" i="1"/>
  <c r="Q20" i="1" s="1"/>
  <c r="Q23" i="1" s="1"/>
  <c r="Q17" i="1"/>
  <c r="Q19" i="1" s="1"/>
  <c r="Y13" i="1"/>
  <c r="Z13" i="1" s="1"/>
  <c r="Y15" i="1"/>
  <c r="Z15" i="1" s="1"/>
  <c r="T13" i="1"/>
  <c r="U13" i="1" s="1"/>
  <c r="AL17" i="1" l="1"/>
  <c r="AL19" i="1" s="1"/>
  <c r="Q24" i="1"/>
  <c r="T16" i="1"/>
  <c r="U16" i="1" s="1"/>
  <c r="U17" i="1" s="1"/>
  <c r="Q21" i="1" s="1"/>
  <c r="Z36" i="1"/>
  <c r="AM16" i="1"/>
  <c r="AN16" i="1" s="1"/>
  <c r="AN17" i="1" s="1"/>
  <c r="AJ21" i="1" s="1"/>
  <c r="AS36" i="1"/>
  <c r="AS17" i="1"/>
  <c r="AJ24" i="1"/>
  <c r="Z17" i="1"/>
  <c r="AT20" i="1" l="1"/>
  <c r="AP20" i="1"/>
  <c r="AP21" i="1" s="1"/>
  <c r="AP22" i="1" s="1"/>
  <c r="AP23" i="1" s="1"/>
  <c r="AP24" i="1" s="1"/>
  <c r="AP25" i="1" s="1"/>
  <c r="AT39" i="1"/>
  <c r="AT40" i="1" s="1"/>
  <c r="AT41" i="1" s="1"/>
  <c r="AP39" i="1"/>
  <c r="AA39" i="1"/>
  <c r="AA40" i="1" s="1"/>
  <c r="AA41" i="1" s="1"/>
  <c r="AA42" i="1" s="1"/>
  <c r="W39" i="1"/>
  <c r="W40" i="1" s="1"/>
  <c r="W41" i="1" s="1"/>
  <c r="W42" i="1" s="1"/>
  <c r="W43" i="1" s="1"/>
  <c r="W44" i="1" s="1"/>
  <c r="W45" i="1" s="1"/>
  <c r="W46" i="1" s="1"/>
  <c r="AT21" i="1"/>
  <c r="AT22" i="1" s="1"/>
  <c r="AT23" i="1" s="1"/>
  <c r="AA20" i="1"/>
  <c r="AA21" i="1" s="1"/>
  <c r="AA22" i="1" s="1"/>
  <c r="AA23" i="1" s="1"/>
  <c r="AA24" i="1" s="1"/>
  <c r="AA25" i="1" s="1"/>
  <c r="AA26" i="1" s="1"/>
  <c r="AA27" i="1" s="1"/>
  <c r="W20" i="1"/>
  <c r="W21" i="1" s="1"/>
  <c r="W22" i="1" s="1"/>
  <c r="W23" i="1" s="1"/>
  <c r="W24" i="1" s="1"/>
  <c r="W25" i="1" s="1"/>
  <c r="W26" i="1" s="1"/>
  <c r="W27" i="1" s="1"/>
  <c r="AT42" i="1" l="1"/>
  <c r="AT43" i="1" s="1"/>
  <c r="AT44" i="1" s="1"/>
  <c r="AA43" i="1"/>
  <c r="AA44" i="1" s="1"/>
  <c r="AT24" i="1"/>
  <c r="AT25" i="1" s="1"/>
  <c r="AT26" i="1" s="1"/>
  <c r="AT27" i="1" s="1"/>
  <c r="AP26" i="1"/>
  <c r="AP27" i="1" s="1"/>
  <c r="AT45" i="1" l="1"/>
  <c r="AT46" i="1" s="1"/>
  <c r="AA45" i="1"/>
  <c r="AA46" i="1" s="1"/>
  <c r="AP40" i="1"/>
  <c r="AP41" i="1" s="1"/>
  <c r="AP42" i="1" l="1"/>
  <c r="AP43" i="1" s="1"/>
  <c r="AP44" i="1" s="1"/>
  <c r="AP45" i="1" l="1"/>
  <c r="AP46" i="1" s="1"/>
</calcChain>
</file>

<file path=xl/sharedStrings.xml><?xml version="1.0" encoding="utf-8"?>
<sst xmlns="http://schemas.openxmlformats.org/spreadsheetml/2006/main" count="236" uniqueCount="62">
  <si>
    <t>A tabela abaixo apresenta os dados de um levantamento do palmiteiro juçara (Euterpe edulis – Arecaceae) na região do Vale do Ribeira, Estado de São Paulo.</t>
  </si>
  <si>
    <t>O exemplo é composto de 34 arvoredos (parcelas de 1600m2) locados no campo segundo a amostragem estratificada.</t>
  </si>
  <si>
    <t>Em cada um dos quatro estratos, realizou-se uma amostragem aleatória simples.</t>
  </si>
  <si>
    <t>A área basal e os DAP médio e médio quadrático se referem apenas às plantas do palmiteiro juçara.</t>
  </si>
  <si>
    <t>1) Econtre o invervalo de confiança de 95% para a MÉDIA POPULACIONAL dos atributos.</t>
  </si>
  <si>
    <t>2) Encontre o tamanho de amostra necessária para erro amostral aceitável de 10% para cada um dos atributos</t>
  </si>
  <si>
    <t>3) Encontre o tamanho de amostra necessária para erro amostral aceitável de 5% para cada um dos atributos</t>
  </si>
  <si>
    <t>4) Compare a precisão da Amostragem Estratificada com a da Amostragem Aleatória Simples (Exercício Aula 8).</t>
  </si>
  <si>
    <t>Estrato</t>
  </si>
  <si>
    <t>Parcela</t>
  </si>
  <si>
    <t>Área</t>
  </si>
  <si>
    <t>(ha)</t>
  </si>
  <si>
    <t>(1/ha)</t>
  </si>
  <si>
    <t>(m2/ha)</t>
  </si>
  <si>
    <t>(cm)</t>
  </si>
  <si>
    <t>I</t>
  </si>
  <si>
    <t>II</t>
  </si>
  <si>
    <t>III</t>
  </si>
  <si>
    <t>IV</t>
  </si>
  <si>
    <t>Total</t>
  </si>
  <si>
    <t>Estrato I</t>
  </si>
  <si>
    <t>Estrato II</t>
  </si>
  <si>
    <t>Estrato III</t>
  </si>
  <si>
    <t>Estrato IV</t>
  </si>
  <si>
    <t>N</t>
  </si>
  <si>
    <t>n</t>
  </si>
  <si>
    <t>a</t>
  </si>
  <si>
    <t>Variância</t>
  </si>
  <si>
    <t>Área do Estrato</t>
  </si>
  <si>
    <t>Número de Palmiteiros</t>
  </si>
  <si>
    <t>Área Basal</t>
  </si>
  <si>
    <t>DAP Médio</t>
  </si>
  <si>
    <t>DAP médio quad.</t>
  </si>
  <si>
    <t>Var. (total)</t>
  </si>
  <si>
    <t>a * s²</t>
  </si>
  <si>
    <t>(a*s²)²</t>
  </si>
  <si>
    <t>(a*s²)²/(n-1)</t>
  </si>
  <si>
    <t>V%</t>
  </si>
  <si>
    <t>N²</t>
  </si>
  <si>
    <t>V%²</t>
  </si>
  <si>
    <t>W</t>
  </si>
  <si>
    <t>N² * V%² /W</t>
  </si>
  <si>
    <t>N * V%²</t>
  </si>
  <si>
    <t>Parcelas</t>
  </si>
  <si>
    <t>m²</t>
  </si>
  <si>
    <t>Média densidade</t>
  </si>
  <si>
    <t>Média densidade * N</t>
  </si>
  <si>
    <t>Média</t>
  </si>
  <si>
    <t>I.C. 95%</t>
  </si>
  <si>
    <t>I.C. %</t>
  </si>
  <si>
    <t>Var. média</t>
  </si>
  <si>
    <t>Tam. Efetivo</t>
  </si>
  <si>
    <t>(soma de a * s² )^2</t>
  </si>
  <si>
    <t>T stud.</t>
  </si>
  <si>
    <t>Soma</t>
  </si>
  <si>
    <t>n =</t>
  </si>
  <si>
    <t>t student =</t>
  </si>
  <si>
    <t>n arred. =</t>
  </si>
  <si>
    <t>Erro de 10%</t>
  </si>
  <si>
    <t>Erro de 5%</t>
  </si>
  <si>
    <t>Densidade de estande</t>
  </si>
  <si>
    <t>DAP Médio Quadrático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</si>
</sst>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E+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2" fillId="0" borderId="0" xfId="2" applyFont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/>
    </xf>
    <xf numFmtId="0" fontId="2" fillId="0" borderId="1" xfId="2" applyBorder="1" applyAlignment="1">
      <alignment horizontal="center"/>
    </xf>
    <xf numFmtId="2" fontId="2" fillId="0" borderId="1" xfId="2" applyNumberFormat="1" applyBorder="1" applyAlignment="1">
      <alignment horizontal="center"/>
    </xf>
    <xf numFmtId="0" fontId="2" fillId="0" borderId="1" xfId="2" applyBorder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5" fillId="0" borderId="1" xfId="0" applyNumberFormat="1" applyFont="1" applyBorder="1"/>
    <xf numFmtId="1" fontId="5" fillId="0" borderId="1" xfId="0" applyNumberFormat="1" applyFont="1" applyBorder="1"/>
    <xf numFmtId="165" fontId="5" fillId="3" borderId="1" xfId="0" applyNumberFormat="1" applyFont="1" applyFill="1" applyBorder="1"/>
    <xf numFmtId="10" fontId="5" fillId="3" borderId="1" xfId="1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65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5" fillId="3" borderId="1" xfId="0" applyNumberFormat="1" applyFont="1" applyFill="1" applyBorder="1" applyAlignment="1">
      <alignment horizontal="left"/>
    </xf>
    <xf numFmtId="0" fontId="10" fillId="3" borderId="0" xfId="0" applyFont="1" applyFill="1"/>
    <xf numFmtId="0" fontId="10" fillId="3" borderId="1" xfId="0" applyFont="1" applyFill="1" applyBorder="1" applyAlignment="1">
      <alignment horizontal="center"/>
    </xf>
    <xf numFmtId="166" fontId="10" fillId="3" borderId="0" xfId="0" applyNumberFormat="1" applyFont="1" applyFill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</cellXfs>
  <cellStyles count="3">
    <cellStyle name="Normal" xfId="0" builtinId="0"/>
    <cellStyle name="Normal 2" xfId="2" xr:uid="{7C160EA3-B5F7-4ECB-BEF6-E44511EBF28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F935-2E8D-4A09-9237-A77D0E86DFE2}">
  <dimension ref="A1:AT48"/>
  <sheetViews>
    <sheetView tabSelected="1" zoomScale="70" zoomScaleNormal="70" workbookViewId="0">
      <selection activeCell="K21" sqref="K21:L22"/>
    </sheetView>
  </sheetViews>
  <sheetFormatPr defaultRowHeight="14.4" x14ac:dyDescent="0.3"/>
  <cols>
    <col min="1" max="1" width="11.88671875" customWidth="1"/>
    <col min="2" max="2" width="12" customWidth="1"/>
    <col min="3" max="3" width="9.77734375" customWidth="1"/>
    <col min="4" max="4" width="11.33203125" customWidth="1"/>
    <col min="5" max="5" width="11.44140625" customWidth="1"/>
    <col min="6" max="6" width="10.6640625" customWidth="1"/>
    <col min="7" max="7" width="13.6640625" customWidth="1"/>
    <col min="8" max="8" width="11.77734375" customWidth="1"/>
    <col min="9" max="9" width="7.33203125" customWidth="1"/>
    <col min="10" max="11" width="10.77734375" customWidth="1"/>
    <col min="12" max="13" width="8.77734375" bestFit="1" customWidth="1"/>
    <col min="14" max="14" width="14" customWidth="1"/>
    <col min="15" max="15" width="10.5546875" bestFit="1" customWidth="1"/>
    <col min="16" max="17" width="13.5546875" customWidth="1"/>
    <col min="18" max="18" width="14.77734375" customWidth="1"/>
    <col min="19" max="19" width="14.6640625" customWidth="1"/>
    <col min="20" max="20" width="13" bestFit="1" customWidth="1"/>
    <col min="21" max="21" width="13.77734375" bestFit="1" customWidth="1"/>
    <col min="22" max="22" width="10.88671875" customWidth="1"/>
    <col min="23" max="23" width="15.21875" customWidth="1"/>
    <col min="24" max="24" width="15.77734375" customWidth="1"/>
    <col min="25" max="25" width="10.77734375" customWidth="1"/>
    <col min="26" max="26" width="11.6640625" customWidth="1"/>
    <col min="27" max="27" width="20" customWidth="1"/>
    <col min="28" max="28" width="10.6640625" customWidth="1"/>
    <col min="33" max="33" width="12.77734375" bestFit="1" customWidth="1"/>
    <col min="36" max="36" width="13.44140625" bestFit="1" customWidth="1"/>
    <col min="37" max="38" width="11.109375" bestFit="1" customWidth="1"/>
    <col min="39" max="39" width="12.44140625" bestFit="1" customWidth="1"/>
    <col min="40" max="40" width="13.77734375" bestFit="1" customWidth="1"/>
    <col min="42" max="42" width="13.88671875" bestFit="1" customWidth="1"/>
    <col min="43" max="43" width="11.33203125" bestFit="1" customWidth="1"/>
    <col min="45" max="45" width="13.77734375" bestFit="1" customWidth="1"/>
    <col min="46" max="46" width="13.88671875" bestFit="1" customWidth="1"/>
  </cols>
  <sheetData>
    <row r="1" spans="1:46" ht="25.35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1"/>
    </row>
    <row r="2" spans="1:46" ht="25.3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1"/>
    </row>
    <row r="3" spans="1:46" ht="15" customHeight="1" x14ac:dyDescent="0.3">
      <c r="A3" s="4" t="s">
        <v>2</v>
      </c>
      <c r="B3" s="4"/>
      <c r="C3" s="4"/>
      <c r="D3" s="4"/>
      <c r="E3" s="4"/>
      <c r="F3" s="4"/>
      <c r="G3" s="4"/>
      <c r="H3" s="4"/>
      <c r="I3" s="1"/>
    </row>
    <row r="4" spans="1:46" ht="15.45" customHeight="1" x14ac:dyDescent="0.3">
      <c r="A4" s="4" t="s">
        <v>3</v>
      </c>
      <c r="B4" s="4"/>
      <c r="C4" s="4"/>
      <c r="D4" s="4"/>
      <c r="E4" s="4"/>
      <c r="F4" s="4"/>
      <c r="G4" s="4"/>
      <c r="H4" s="4"/>
      <c r="I4" s="1"/>
    </row>
    <row r="5" spans="1:46" ht="15" customHeight="1" x14ac:dyDescent="0.3">
      <c r="A5" s="4" t="s">
        <v>4</v>
      </c>
      <c r="B5" s="4"/>
      <c r="C5" s="4"/>
      <c r="D5" s="4"/>
      <c r="E5" s="4"/>
      <c r="F5" s="4"/>
      <c r="G5" s="4"/>
      <c r="H5" s="4"/>
    </row>
    <row r="6" spans="1:46" x14ac:dyDescent="0.3">
      <c r="A6" s="4" t="s">
        <v>5</v>
      </c>
      <c r="B6" s="4"/>
      <c r="C6" s="4"/>
      <c r="D6" s="4"/>
      <c r="E6" s="4"/>
      <c r="F6" s="4"/>
      <c r="G6" s="4"/>
      <c r="H6" s="4"/>
    </row>
    <row r="7" spans="1:46" ht="14.85" customHeight="1" x14ac:dyDescent="0.3">
      <c r="A7" s="4" t="s">
        <v>6</v>
      </c>
      <c r="B7" s="4"/>
      <c r="C7" s="4"/>
      <c r="D7" s="4"/>
      <c r="E7" s="4"/>
      <c r="F7" s="4"/>
      <c r="G7" s="4"/>
      <c r="H7" s="4"/>
    </row>
    <row r="8" spans="1:46" ht="14.55" customHeight="1" x14ac:dyDescent="0.3">
      <c r="A8" s="4" t="s">
        <v>7</v>
      </c>
      <c r="B8" s="4"/>
      <c r="C8" s="4"/>
      <c r="D8" s="4"/>
      <c r="E8" s="4"/>
      <c r="F8" s="4"/>
      <c r="G8" s="4"/>
      <c r="H8" s="4"/>
    </row>
    <row r="9" spans="1:46" ht="25.35" customHeight="1" x14ac:dyDescent="0.3"/>
    <row r="11" spans="1:46" ht="15.6" x14ac:dyDescent="0.3">
      <c r="B11" s="9" t="s">
        <v>8</v>
      </c>
      <c r="C11" s="10" t="s">
        <v>28</v>
      </c>
      <c r="D11" s="10" t="s">
        <v>9</v>
      </c>
      <c r="E11" s="10" t="s">
        <v>29</v>
      </c>
      <c r="F11" s="10" t="s">
        <v>30</v>
      </c>
      <c r="G11" s="10" t="s">
        <v>31</v>
      </c>
      <c r="H11" s="10" t="s">
        <v>32</v>
      </c>
      <c r="J11" s="11" t="s">
        <v>60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C11" s="11" t="s">
        <v>30</v>
      </c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</row>
    <row r="12" spans="1:46" ht="31.5" customHeight="1" x14ac:dyDescent="0.3">
      <c r="B12" s="9"/>
      <c r="C12" s="10"/>
      <c r="D12" s="10"/>
      <c r="E12" s="10"/>
      <c r="F12" s="10"/>
      <c r="G12" s="10"/>
      <c r="H12" s="10"/>
      <c r="J12" s="12" t="s">
        <v>8</v>
      </c>
      <c r="K12" s="12" t="s">
        <v>10</v>
      </c>
      <c r="L12" s="13" t="s">
        <v>24</v>
      </c>
      <c r="M12" s="14" t="s">
        <v>25</v>
      </c>
      <c r="N12" s="14" t="s">
        <v>26</v>
      </c>
      <c r="O12" s="14" t="s">
        <v>27</v>
      </c>
      <c r="P12" s="14" t="s">
        <v>45</v>
      </c>
      <c r="Q12" s="14" t="s">
        <v>46</v>
      </c>
      <c r="R12" s="14" t="s">
        <v>33</v>
      </c>
      <c r="S12" s="14" t="s">
        <v>34</v>
      </c>
      <c r="T12" s="14" t="s">
        <v>35</v>
      </c>
      <c r="U12" s="14" t="s">
        <v>36</v>
      </c>
      <c r="V12" s="14" t="s">
        <v>37</v>
      </c>
      <c r="W12" s="14" t="s">
        <v>38</v>
      </c>
      <c r="X12" s="14" t="s">
        <v>39</v>
      </c>
      <c r="Y12" s="14" t="s">
        <v>40</v>
      </c>
      <c r="Z12" s="14" t="s">
        <v>41</v>
      </c>
      <c r="AA12" s="14" t="s">
        <v>42</v>
      </c>
      <c r="AC12" s="12" t="s">
        <v>8</v>
      </c>
      <c r="AD12" s="12" t="s">
        <v>10</v>
      </c>
      <c r="AE12" s="13" t="s">
        <v>24</v>
      </c>
      <c r="AF12" s="14" t="s">
        <v>25</v>
      </c>
      <c r="AG12" s="14" t="s">
        <v>26</v>
      </c>
      <c r="AH12" s="14" t="s">
        <v>27</v>
      </c>
      <c r="AI12" s="14" t="s">
        <v>45</v>
      </c>
      <c r="AJ12" s="14" t="s">
        <v>46</v>
      </c>
      <c r="AK12" s="14" t="s">
        <v>33</v>
      </c>
      <c r="AL12" s="14" t="s">
        <v>34</v>
      </c>
      <c r="AM12" s="14" t="s">
        <v>35</v>
      </c>
      <c r="AN12" s="14" t="s">
        <v>36</v>
      </c>
      <c r="AO12" s="14" t="s">
        <v>37</v>
      </c>
      <c r="AP12" s="14" t="s">
        <v>38</v>
      </c>
      <c r="AQ12" s="14" t="s">
        <v>39</v>
      </c>
      <c r="AR12" s="14" t="s">
        <v>40</v>
      </c>
      <c r="AS12" s="14" t="s">
        <v>41</v>
      </c>
      <c r="AT12" s="14" t="s">
        <v>42</v>
      </c>
    </row>
    <row r="13" spans="1:46" x14ac:dyDescent="0.3">
      <c r="B13" s="5"/>
      <c r="C13" s="5" t="s">
        <v>11</v>
      </c>
      <c r="D13" s="5"/>
      <c r="E13" s="5" t="s">
        <v>12</v>
      </c>
      <c r="F13" s="5" t="s">
        <v>13</v>
      </c>
      <c r="G13" s="5" t="s">
        <v>14</v>
      </c>
      <c r="H13" s="5" t="s">
        <v>14</v>
      </c>
      <c r="J13" s="15" t="s">
        <v>20</v>
      </c>
      <c r="K13" s="15">
        <f>$C$14</f>
        <v>1333.9</v>
      </c>
      <c r="L13" s="16">
        <f>(K13*10000)/$L$21</f>
        <v>8336.875</v>
      </c>
      <c r="M13" s="17">
        <v>11</v>
      </c>
      <c r="N13" s="18">
        <f>L13*(L13-M13)/M13</f>
        <v>6310161.7400568184</v>
      </c>
      <c r="O13" s="18">
        <f>_xlfn.VAR.S(E14:E24)</f>
        <v>82167.613636363618</v>
      </c>
      <c r="P13" s="18">
        <f>AVERAGE(E14:E24)</f>
        <v>511.93181818181819</v>
      </c>
      <c r="Q13" s="19">
        <f>P13*L13</f>
        <v>4267911.5767045459</v>
      </c>
      <c r="R13" s="20">
        <f>(L13^2)*O13/M13</f>
        <v>519175952963.88727</v>
      </c>
      <c r="S13" s="20">
        <f>N13*(O13)</f>
        <v>518490931839.95258</v>
      </c>
      <c r="T13" s="20">
        <f>S13^2</f>
        <v>2.6883284640026236E+23</v>
      </c>
      <c r="U13" s="20">
        <f>T13/(M13-1)</f>
        <v>2.6883284640026235E+22</v>
      </c>
      <c r="V13" s="19">
        <f>(SQRT(O13)/P13)*100</f>
        <v>55.993577227313729</v>
      </c>
      <c r="W13" s="19">
        <f>L13^2</f>
        <v>69503484.765625</v>
      </c>
      <c r="X13" s="19">
        <f>V13^2</f>
        <v>3135.2806907111467</v>
      </c>
      <c r="Y13" s="19">
        <f>K13/$K$17</f>
        <v>0.41684374999999996</v>
      </c>
      <c r="Z13" s="20">
        <f>(W13*X13)/Y13</f>
        <v>522768864167.44989</v>
      </c>
      <c r="AA13" s="19">
        <f>L13*X13</f>
        <v>26138443.208372492</v>
      </c>
      <c r="AC13" s="15" t="s">
        <v>20</v>
      </c>
      <c r="AD13" s="15">
        <f>$C$14</f>
        <v>1333.9</v>
      </c>
      <c r="AE13" s="16">
        <f>(AD13*10000)/$L$21</f>
        <v>8336.875</v>
      </c>
      <c r="AF13" s="17">
        <v>11</v>
      </c>
      <c r="AG13" s="18">
        <f>AE13*(AE13-AF13)/AF13</f>
        <v>6310161.7400568184</v>
      </c>
      <c r="AH13" s="18">
        <f>_xlfn.VAR.S(F14:F24)</f>
        <v>14.095189090909106</v>
      </c>
      <c r="AI13" s="18">
        <f>AVERAGE(F14:F24)</f>
        <v>5.1190909090909082</v>
      </c>
      <c r="AJ13" s="19">
        <f>AI13*AE13</f>
        <v>42677.221022727266</v>
      </c>
      <c r="AK13" s="20">
        <f>(AE13^2)*AH13/AF13</f>
        <v>89060432.749873146</v>
      </c>
      <c r="AL13" s="20">
        <f>AG13*(AH13)</f>
        <v>88942922.920320883</v>
      </c>
      <c r="AM13" s="20">
        <f>AL13^2</f>
        <v>7910843537610142</v>
      </c>
      <c r="AN13" s="20">
        <f>AM13/(AF13-1)</f>
        <v>791084353761014.25</v>
      </c>
      <c r="AO13" s="19">
        <f>(SQRT(AH13)/AI13)*100</f>
        <v>73.340287995364122</v>
      </c>
      <c r="AP13" s="19">
        <f>AE13^2</f>
        <v>69503484.765625</v>
      </c>
      <c r="AQ13" s="19">
        <f>AO13^2</f>
        <v>5378.7978432429509</v>
      </c>
      <c r="AR13" s="19">
        <f>AD13/$K$17</f>
        <v>0.41684374999999996</v>
      </c>
      <c r="AS13" s="20">
        <f>(AP13*AQ13)/AR13</f>
        <v>896847305387.72156</v>
      </c>
      <c r="AT13" s="19">
        <f>AE13*AQ13</f>
        <v>44842365.269386075</v>
      </c>
    </row>
    <row r="14" spans="1:46" x14ac:dyDescent="0.3">
      <c r="B14" s="5" t="s">
        <v>15</v>
      </c>
      <c r="C14" s="5">
        <v>1333.9</v>
      </c>
      <c r="D14" s="6">
        <v>1004</v>
      </c>
      <c r="E14" s="7">
        <v>631.25</v>
      </c>
      <c r="F14" s="7">
        <v>8.24</v>
      </c>
      <c r="G14" s="7">
        <v>5.91</v>
      </c>
      <c r="H14" s="7">
        <v>12.89</v>
      </c>
      <c r="J14" s="15" t="s">
        <v>21</v>
      </c>
      <c r="K14" s="15">
        <f>$C$25</f>
        <v>559.93600000000004</v>
      </c>
      <c r="L14" s="16">
        <f>(K14*10000)/$L$21</f>
        <v>3499.6</v>
      </c>
      <c r="M14" s="17">
        <v>7</v>
      </c>
      <c r="N14" s="18">
        <f t="shared" ref="N14:N16" si="0">L14*(L14-M14)/M14</f>
        <v>1746100.4228571428</v>
      </c>
      <c r="O14" s="18">
        <f>_xlfn.VAR.S(E25:E31)</f>
        <v>844.49404761904827</v>
      </c>
      <c r="P14" s="18">
        <f>AVERAGE(E25:E31)</f>
        <v>166.07142857142858</v>
      </c>
      <c r="Q14" s="19">
        <f t="shared" ref="Q14:Q16" si="1">P14*L14</f>
        <v>581183.57142857148</v>
      </c>
      <c r="R14" s="20">
        <f t="shared" ref="R14:R16" si="2">(L14^2)*O14/M14</f>
        <v>1477526805.0170081</v>
      </c>
      <c r="S14" s="20">
        <f t="shared" ref="S14:S16" si="3">N14*(O14)</f>
        <v>1474571413.6479602</v>
      </c>
      <c r="T14" s="20">
        <f t="shared" ref="T14:T16" si="4">S14^2</f>
        <v>2.1743608539477437E+18</v>
      </c>
      <c r="U14" s="20">
        <f t="shared" ref="U14:U16" si="5">T14/(M14-1)</f>
        <v>3.6239347565795731E+17</v>
      </c>
      <c r="V14" s="19">
        <f t="shared" ref="V14:V16" si="6">(SQRT(O14)/P14)*100</f>
        <v>17.498602865568667</v>
      </c>
      <c r="W14" s="19">
        <f t="shared" ref="W14:W16" si="7">L14^2</f>
        <v>12247200.16</v>
      </c>
      <c r="X14" s="19">
        <f t="shared" ref="X14:X16" si="8">V14^2</f>
        <v>306.20110224688796</v>
      </c>
      <c r="Y14" s="19">
        <f t="shared" ref="Y14:Y16" si="9">K14/$K$17</f>
        <v>0.17498</v>
      </c>
      <c r="Z14" s="20">
        <f t="shared" ref="Z14:Z16" si="10">(W14*X14)/Y14</f>
        <v>21431627548.464184</v>
      </c>
      <c r="AA14" s="19">
        <f t="shared" ref="AA14:AA16" si="11">L14*X14</f>
        <v>1071581.3774232091</v>
      </c>
      <c r="AC14" s="15" t="s">
        <v>21</v>
      </c>
      <c r="AD14" s="15">
        <f>$C$25</f>
        <v>559.93600000000004</v>
      </c>
      <c r="AE14" s="16">
        <f>(AD14*10000)/$L$21</f>
        <v>3499.6</v>
      </c>
      <c r="AF14" s="17">
        <v>7</v>
      </c>
      <c r="AG14" s="18">
        <f t="shared" ref="AG14:AG16" si="12">AE14*(AE14-AF14)/AF14</f>
        <v>1746100.4228571428</v>
      </c>
      <c r="AH14" s="18">
        <f>_xlfn.VAR.S(F25:F31)</f>
        <v>5.4690476190476435E-2</v>
      </c>
      <c r="AI14" s="18">
        <f>AVERAGE(F25:F31)</f>
        <v>0.76714285714285702</v>
      </c>
      <c r="AJ14" s="19">
        <f t="shared" ref="AJ14:AJ16" si="13">AI14*AE14</f>
        <v>2684.6931428571424</v>
      </c>
      <c r="AK14" s="20">
        <f t="shared" ref="AK14:AK16" si="14">(AE14^2)*AH14/AF14</f>
        <v>95686.45839292559</v>
      </c>
      <c r="AL14" s="20">
        <f t="shared" ref="AL14:AL16" si="15">AG14*(AH14)</f>
        <v>95495.063602449402</v>
      </c>
      <c r="AM14" s="20">
        <f t="shared" ref="AM14:AM16" si="16">AL14^2</f>
        <v>9119307172.4358559</v>
      </c>
      <c r="AN14" s="20">
        <f t="shared" ref="AN14:AN16" si="17">AM14/(AF14-1)</f>
        <v>1519884528.7393093</v>
      </c>
      <c r="AO14" s="19">
        <f t="shared" ref="AO14:AO16" si="18">(SQRT(AH14)/AI14)*100</f>
        <v>30.484537237391134</v>
      </c>
      <c r="AP14" s="19">
        <f t="shared" ref="AP14:AP16" si="19">AE14^2</f>
        <v>12247200.16</v>
      </c>
      <c r="AQ14" s="19">
        <f t="shared" ref="AQ14:AQ16" si="20">AO14^2</f>
        <v>929.30701057788667</v>
      </c>
      <c r="AR14" s="19">
        <f t="shared" ref="AR14:AR16" si="21">AD14/$K$17</f>
        <v>0.17498</v>
      </c>
      <c r="AS14" s="20">
        <f t="shared" ref="AS14:AS16" si="22">(AP14*AQ14)/AR14</f>
        <v>65044056284.367439</v>
      </c>
      <c r="AT14" s="19">
        <f t="shared" ref="AT14:AT16" si="23">AE14*AQ14</f>
        <v>3252202.8142183721</v>
      </c>
    </row>
    <row r="15" spans="1:46" x14ac:dyDescent="0.3">
      <c r="B15" s="5"/>
      <c r="C15" s="5"/>
      <c r="D15" s="6">
        <v>1006</v>
      </c>
      <c r="E15" s="7">
        <v>1025</v>
      </c>
      <c r="F15" s="7">
        <v>10.32</v>
      </c>
      <c r="G15" s="7">
        <v>9.59</v>
      </c>
      <c r="H15" s="7">
        <v>11.32</v>
      </c>
      <c r="J15" s="15" t="s">
        <v>22</v>
      </c>
      <c r="K15" s="15">
        <f>$C$32</f>
        <v>552.92899999999997</v>
      </c>
      <c r="L15" s="16">
        <f>(K15*10000)/$L$21</f>
        <v>3455.8062500000001</v>
      </c>
      <c r="M15" s="17">
        <v>6</v>
      </c>
      <c r="N15" s="18">
        <f t="shared" si="0"/>
        <v>1986977.0000065106</v>
      </c>
      <c r="O15" s="18">
        <f>_xlfn.VAR.S(E32:E37)</f>
        <v>162.76041666666569</v>
      </c>
      <c r="P15" s="18">
        <f>AVERAGE(E32:E37)</f>
        <v>111.45833333333333</v>
      </c>
      <c r="Q15" s="19">
        <f t="shared" si="1"/>
        <v>385178.40494791669</v>
      </c>
      <c r="R15" s="20">
        <f t="shared" si="2"/>
        <v>323963672.89331037</v>
      </c>
      <c r="S15" s="20">
        <f t="shared" si="3"/>
        <v>323401204.42814106</v>
      </c>
      <c r="T15" s="20">
        <f t="shared" si="4"/>
        <v>1.0458833902557229E+17</v>
      </c>
      <c r="U15" s="20">
        <f t="shared" si="5"/>
        <v>2.0917667805114456E+16</v>
      </c>
      <c r="V15" s="19">
        <f t="shared" si="6"/>
        <v>11.446213751323228</v>
      </c>
      <c r="W15" s="19">
        <f t="shared" si="7"/>
        <v>11942596.837539064</v>
      </c>
      <c r="X15" s="19">
        <f t="shared" si="8"/>
        <v>131.01580924098096</v>
      </c>
      <c r="Y15" s="19">
        <f t="shared" si="9"/>
        <v>0.17279031249999996</v>
      </c>
      <c r="Z15" s="20">
        <f t="shared" si="10"/>
        <v>9055305048.4757977</v>
      </c>
      <c r="AA15" s="19">
        <f t="shared" si="11"/>
        <v>452765.25242378976</v>
      </c>
      <c r="AC15" s="15" t="s">
        <v>22</v>
      </c>
      <c r="AD15" s="15">
        <f>$C$32</f>
        <v>552.92899999999997</v>
      </c>
      <c r="AE15" s="16">
        <f>(AD15*10000)/$L$21</f>
        <v>3455.8062500000001</v>
      </c>
      <c r="AF15" s="17">
        <v>6</v>
      </c>
      <c r="AG15" s="18">
        <f t="shared" si="12"/>
        <v>1986977.0000065106</v>
      </c>
      <c r="AH15" s="18">
        <f>_xlfn.VAR.S(F32:F37)</f>
        <v>0.17078666666666678</v>
      </c>
      <c r="AI15" s="18">
        <f>AVERAGE(F32:F37)</f>
        <v>0.72666666666666657</v>
      </c>
      <c r="AJ15" s="19">
        <f t="shared" si="13"/>
        <v>2511.219208333333</v>
      </c>
      <c r="AK15" s="20">
        <f t="shared" si="14"/>
        <v>339939.38420452882</v>
      </c>
      <c r="AL15" s="20">
        <f t="shared" si="15"/>
        <v>339349.17857444548</v>
      </c>
      <c r="AM15" s="20">
        <f t="shared" si="16"/>
        <v>115157864999.15089</v>
      </c>
      <c r="AN15" s="20">
        <f t="shared" si="17"/>
        <v>23031572999.830177</v>
      </c>
      <c r="AO15" s="19">
        <f t="shared" si="18"/>
        <v>56.871114901375144</v>
      </c>
      <c r="AP15" s="19">
        <f t="shared" si="19"/>
        <v>11942596.837539064</v>
      </c>
      <c r="AQ15" s="19">
        <f t="shared" si="20"/>
        <v>3234.323710125414</v>
      </c>
      <c r="AR15" s="19">
        <f t="shared" si="21"/>
        <v>0.17279031249999996</v>
      </c>
      <c r="AS15" s="20">
        <f t="shared" si="22"/>
        <v>223543921839.49197</v>
      </c>
      <c r="AT15" s="19">
        <f t="shared" si="23"/>
        <v>11177196.091974594</v>
      </c>
    </row>
    <row r="16" spans="1:46" x14ac:dyDescent="0.3">
      <c r="B16" s="5"/>
      <c r="C16" s="5"/>
      <c r="D16" s="6">
        <v>1007</v>
      </c>
      <c r="E16" s="7">
        <v>1006.25</v>
      </c>
      <c r="F16" s="7">
        <v>9.4700000000000006</v>
      </c>
      <c r="G16" s="7">
        <v>10.49</v>
      </c>
      <c r="H16" s="7">
        <v>10.95</v>
      </c>
      <c r="J16" s="15" t="s">
        <v>23</v>
      </c>
      <c r="K16" s="15">
        <f>$C$38</f>
        <v>753.23500000000001</v>
      </c>
      <c r="L16" s="16">
        <f>(K16*10000)/$L$21</f>
        <v>4707.71875</v>
      </c>
      <c r="M16" s="17">
        <v>10</v>
      </c>
      <c r="N16" s="18">
        <f t="shared" si="0"/>
        <v>2211553.8641601563</v>
      </c>
      <c r="O16" s="18">
        <f>_xlfn.VAR.S(E38:E47)</f>
        <v>618.05555555555554</v>
      </c>
      <c r="P16" s="18">
        <f>AVERAGE(E38:E47)</f>
        <v>41.25</v>
      </c>
      <c r="Q16" s="19">
        <f t="shared" si="1"/>
        <v>194193.3984375</v>
      </c>
      <c r="R16" s="20">
        <f t="shared" si="2"/>
        <v>1369772783.8819716</v>
      </c>
      <c r="S16" s="20">
        <f t="shared" si="3"/>
        <v>1366863152.154541</v>
      </c>
      <c r="T16" s="20">
        <f t="shared" si="4"/>
        <v>1.8683148767178481E+18</v>
      </c>
      <c r="U16" s="20">
        <f t="shared" si="5"/>
        <v>2.0759054185753869E+17</v>
      </c>
      <c r="V16" s="19">
        <f t="shared" si="6"/>
        <v>60.268419758288076</v>
      </c>
      <c r="W16" s="19">
        <f t="shared" si="7"/>
        <v>22162615.829101563</v>
      </c>
      <c r="X16" s="19">
        <f t="shared" si="8"/>
        <v>3632.2824201612084</v>
      </c>
      <c r="Y16" s="19">
        <f t="shared" si="9"/>
        <v>0.23538593749999998</v>
      </c>
      <c r="Z16" s="20">
        <f t="shared" si="10"/>
        <v>341995281093.76599</v>
      </c>
      <c r="AA16" s="19">
        <f t="shared" si="11"/>
        <v>17099764.054688297</v>
      </c>
      <c r="AC16" s="15" t="s">
        <v>23</v>
      </c>
      <c r="AD16" s="15">
        <f>$C$38</f>
        <v>753.23500000000001</v>
      </c>
      <c r="AE16" s="16">
        <f>(AD16*10000)/$L$21</f>
        <v>4707.71875</v>
      </c>
      <c r="AF16" s="17">
        <v>10</v>
      </c>
      <c r="AG16" s="18">
        <f t="shared" si="12"/>
        <v>2211553.8641601563</v>
      </c>
      <c r="AH16" s="18">
        <f>_xlfn.VAR.S(F38:F47)</f>
        <v>9.7822222222222165E-3</v>
      </c>
      <c r="AI16" s="18">
        <f>AVERAGE(F38:F47)</f>
        <v>0.12400000000000003</v>
      </c>
      <c r="AJ16" s="19">
        <f t="shared" si="13"/>
        <v>583.75712500000009</v>
      </c>
      <c r="AK16" s="20">
        <f t="shared" si="14"/>
        <v>21679.963306601116</v>
      </c>
      <c r="AL16" s="20">
        <f t="shared" si="15"/>
        <v>21633.911355628894</v>
      </c>
      <c r="AM16" s="20">
        <f t="shared" si="16"/>
        <v>468026120.54320878</v>
      </c>
      <c r="AN16" s="20">
        <f t="shared" si="17"/>
        <v>52002902.282578751</v>
      </c>
      <c r="AO16" s="19">
        <f t="shared" si="18"/>
        <v>79.762191346895534</v>
      </c>
      <c r="AP16" s="19">
        <f t="shared" si="19"/>
        <v>22162615.829101563</v>
      </c>
      <c r="AQ16" s="19">
        <f t="shared" si="20"/>
        <v>6362.0071684587765</v>
      </c>
      <c r="AR16" s="19">
        <f t="shared" si="21"/>
        <v>0.23538593749999998</v>
      </c>
      <c r="AS16" s="20">
        <f t="shared" si="22"/>
        <v>599010808691.75586</v>
      </c>
      <c r="AT16" s="19">
        <f t="shared" si="23"/>
        <v>29950540.434587792</v>
      </c>
    </row>
    <row r="17" spans="2:46" x14ac:dyDescent="0.3">
      <c r="B17" s="5"/>
      <c r="C17" s="5"/>
      <c r="D17" s="6">
        <v>1018</v>
      </c>
      <c r="E17" s="7">
        <v>550</v>
      </c>
      <c r="F17" s="7">
        <v>9.6199999999999992</v>
      </c>
      <c r="G17" s="7">
        <v>6.34</v>
      </c>
      <c r="H17" s="7">
        <v>14.92</v>
      </c>
      <c r="J17" s="15" t="s">
        <v>19</v>
      </c>
      <c r="K17" s="15">
        <f>SUM(K13:K16)</f>
        <v>3200.0000000000005</v>
      </c>
      <c r="L17" s="21">
        <f>SUM(L13:L16)</f>
        <v>20000</v>
      </c>
      <c r="M17" s="22">
        <f>SUM(M13:M16)</f>
        <v>34</v>
      </c>
      <c r="N17" s="22"/>
      <c r="O17" s="22"/>
      <c r="P17" s="22"/>
      <c r="Q17" s="22">
        <f>SUM(Q13:Q16)</f>
        <v>5428466.9515185347</v>
      </c>
      <c r="R17" s="20">
        <f>SUM(R13:R16)</f>
        <v>522347216225.67957</v>
      </c>
      <c r="S17" s="20">
        <f>SUM(S13:S16)</f>
        <v>521655767610.18323</v>
      </c>
      <c r="T17" s="22"/>
      <c r="U17" s="36">
        <f>SUM(U13:U16)</f>
        <v>2.6883875541711556E+22</v>
      </c>
      <c r="V17" s="22"/>
      <c r="W17" s="22"/>
      <c r="X17" s="22"/>
      <c r="Y17" s="23" t="s">
        <v>54</v>
      </c>
      <c r="Z17" s="22">
        <f>SUM(Z13:Z16)</f>
        <v>895251077858.15588</v>
      </c>
      <c r="AA17" s="22">
        <f>SUM(AA13:AA16)</f>
        <v>44762553.892907783</v>
      </c>
      <c r="AC17" s="15" t="s">
        <v>19</v>
      </c>
      <c r="AD17" s="15">
        <f>SUM(AD13:AD16)</f>
        <v>3200.0000000000005</v>
      </c>
      <c r="AE17" s="21">
        <f>SUM(AE13:AE16)</f>
        <v>20000</v>
      </c>
      <c r="AF17" s="22">
        <f>SUM(AF13:AF16)</f>
        <v>34</v>
      </c>
      <c r="AG17" s="22"/>
      <c r="AH17" s="22"/>
      <c r="AI17" s="22"/>
      <c r="AJ17" s="22">
        <f>SUM(AJ13:AJ16)</f>
        <v>48456.890498917739</v>
      </c>
      <c r="AK17" s="20">
        <f>SUM(AK13:AK16)</f>
        <v>89517738.555777207</v>
      </c>
      <c r="AL17" s="20">
        <f>SUM(AL13:AL16)</f>
        <v>89399401.073853403</v>
      </c>
      <c r="AM17" s="22"/>
      <c r="AN17" s="36">
        <f>SUM(AN13:AN16)</f>
        <v>791108957221445.13</v>
      </c>
      <c r="AO17" s="22"/>
      <c r="AP17" s="22"/>
      <c r="AQ17" s="22"/>
      <c r="AR17" s="23" t="s">
        <v>54</v>
      </c>
      <c r="AS17" s="22">
        <f>SUM(AS13:AS16)</f>
        <v>1784446092203.3369</v>
      </c>
      <c r="AT17" s="22">
        <f>SUM(AT13:AT16)</f>
        <v>89222304.610166833</v>
      </c>
    </row>
    <row r="18" spans="2:46" ht="26.4" x14ac:dyDescent="0.3">
      <c r="B18" s="5"/>
      <c r="C18" s="5"/>
      <c r="D18" s="6">
        <v>2003</v>
      </c>
      <c r="E18" s="7">
        <v>356.25</v>
      </c>
      <c r="F18" s="7">
        <v>1.96</v>
      </c>
      <c r="G18" s="7">
        <v>7.29</v>
      </c>
      <c r="H18" s="7">
        <v>8.3800000000000008</v>
      </c>
      <c r="O18" s="2"/>
      <c r="P18" s="2"/>
      <c r="Q18" s="2"/>
      <c r="R18" s="2"/>
      <c r="S18" s="3" t="s">
        <v>52</v>
      </c>
      <c r="T18" s="2"/>
      <c r="U18" s="2"/>
      <c r="V18" s="2"/>
      <c r="W18" s="2"/>
      <c r="X18" s="2"/>
      <c r="Y18" s="2"/>
      <c r="Z18" s="2"/>
      <c r="AA18" s="2"/>
      <c r="AB18" s="2"/>
      <c r="AH18" s="2"/>
      <c r="AI18" s="2"/>
      <c r="AJ18" s="2"/>
      <c r="AK18" s="2"/>
      <c r="AL18" s="3" t="s">
        <v>52</v>
      </c>
      <c r="AM18" s="2"/>
      <c r="AN18" s="2"/>
      <c r="AO18" s="2"/>
      <c r="AP18" s="2"/>
      <c r="AQ18" s="2"/>
      <c r="AR18" s="2"/>
      <c r="AS18" s="2"/>
      <c r="AT18" s="2"/>
    </row>
    <row r="19" spans="2:46" x14ac:dyDescent="0.3">
      <c r="B19" s="5"/>
      <c r="C19" s="5"/>
      <c r="D19" s="6">
        <v>2007</v>
      </c>
      <c r="E19" s="7">
        <v>606.25</v>
      </c>
      <c r="F19" s="7">
        <v>5.39</v>
      </c>
      <c r="G19" s="7">
        <v>9.41</v>
      </c>
      <c r="H19" s="7">
        <v>10.64</v>
      </c>
      <c r="O19" s="2"/>
      <c r="P19" s="24" t="s">
        <v>47</v>
      </c>
      <c r="Q19" s="25">
        <f>Q17/L17</f>
        <v>271.42334757592675</v>
      </c>
      <c r="R19" s="2"/>
      <c r="S19" s="35">
        <f>S17^2</f>
        <v>2.7212473988096947E+23</v>
      </c>
      <c r="T19" s="29" t="s">
        <v>58</v>
      </c>
      <c r="U19" s="30">
        <v>1</v>
      </c>
      <c r="V19" s="31" t="s">
        <v>56</v>
      </c>
      <c r="W19" s="32">
        <f>Q22</f>
        <v>2.2621571627982049</v>
      </c>
      <c r="X19" s="29" t="s">
        <v>59</v>
      </c>
      <c r="Y19" s="30">
        <v>1</v>
      </c>
      <c r="Z19" s="31" t="s">
        <v>56</v>
      </c>
      <c r="AA19" s="32">
        <f>Q22</f>
        <v>2.2621571627982049</v>
      </c>
      <c r="AH19" s="2"/>
      <c r="AI19" s="24" t="s">
        <v>47</v>
      </c>
      <c r="AJ19" s="25">
        <f>AJ17/AE17</f>
        <v>2.4228445249458868</v>
      </c>
      <c r="AK19" s="2"/>
      <c r="AL19" s="37">
        <f>AL17^2</f>
        <v>7992252912363701</v>
      </c>
      <c r="AM19" s="29" t="s">
        <v>58</v>
      </c>
      <c r="AN19" s="30">
        <v>1</v>
      </c>
      <c r="AO19" s="31" t="s">
        <v>56</v>
      </c>
      <c r="AP19" s="32">
        <f>AJ22</f>
        <v>2.2621571627982049</v>
      </c>
      <c r="AQ19" s="29" t="s">
        <v>59</v>
      </c>
      <c r="AR19" s="30">
        <v>1</v>
      </c>
      <c r="AS19" s="31" t="s">
        <v>56</v>
      </c>
      <c r="AT19" s="32">
        <f>AJ22</f>
        <v>2.2621571627982049</v>
      </c>
    </row>
    <row r="20" spans="2:46" x14ac:dyDescent="0.3">
      <c r="B20" s="5"/>
      <c r="C20" s="5"/>
      <c r="D20" s="6">
        <v>2012</v>
      </c>
      <c r="E20" s="7">
        <v>225</v>
      </c>
      <c r="F20" s="7">
        <v>0.79</v>
      </c>
      <c r="G20" s="7">
        <v>6.31</v>
      </c>
      <c r="H20" s="7">
        <v>6.67</v>
      </c>
      <c r="O20" s="2"/>
      <c r="P20" s="24" t="s">
        <v>50</v>
      </c>
      <c r="Q20" s="25">
        <f>R17/(L17^2)</f>
        <v>1305.868040564199</v>
      </c>
      <c r="R20" s="2"/>
      <c r="S20" s="2"/>
      <c r="T20" s="29"/>
      <c r="U20" s="30"/>
      <c r="V20" s="31" t="s">
        <v>55</v>
      </c>
      <c r="W20" s="32">
        <f>$Z$17/(($L$17^2)*(10^2/W19^2)+$AA$17)</f>
        <v>113.88078508476556</v>
      </c>
      <c r="X20" s="29"/>
      <c r="Y20" s="30"/>
      <c r="Z20" s="31" t="s">
        <v>55</v>
      </c>
      <c r="AA20" s="32">
        <f>$Z$17/(($L$17^2)*(5^2/AA19^2)+$AA$17)</f>
        <v>447.87252905505881</v>
      </c>
      <c r="AH20" s="2"/>
      <c r="AI20" s="24" t="s">
        <v>50</v>
      </c>
      <c r="AJ20" s="25">
        <f>AK17/(AE17^2)</f>
        <v>0.22379434638944301</v>
      </c>
      <c r="AK20" s="2"/>
      <c r="AL20" s="2"/>
      <c r="AM20" s="29"/>
      <c r="AN20" s="30"/>
      <c r="AO20" s="31" t="s">
        <v>55</v>
      </c>
      <c r="AP20" s="32">
        <f>$AS$17/(($L$17^2)*(10^2/AP19^2)+$AT$17)</f>
        <v>225.71467201675796</v>
      </c>
      <c r="AQ20" s="29"/>
      <c r="AR20" s="30"/>
      <c r="AS20" s="31" t="s">
        <v>55</v>
      </c>
      <c r="AT20" s="32">
        <f>$AS$17/(($L$17^2)*(5^2/AT19^2)+$AT$17)</f>
        <v>873.29148296902451</v>
      </c>
    </row>
    <row r="21" spans="2:46" x14ac:dyDescent="0.3">
      <c r="B21" s="5"/>
      <c r="C21" s="5"/>
      <c r="D21" s="6">
        <v>2017</v>
      </c>
      <c r="E21" s="7">
        <v>343.75</v>
      </c>
      <c r="F21" s="7">
        <v>5.34</v>
      </c>
      <c r="G21" s="7">
        <v>13.62</v>
      </c>
      <c r="H21" s="7">
        <v>14.07</v>
      </c>
      <c r="K21" s="41" t="s">
        <v>43</v>
      </c>
      <c r="L21" s="42">
        <v>1600</v>
      </c>
      <c r="M21" t="s">
        <v>44</v>
      </c>
      <c r="O21" s="2"/>
      <c r="P21" s="24" t="s">
        <v>51</v>
      </c>
      <c r="Q21" s="26">
        <f>S19/U17</f>
        <v>10.12222882295209</v>
      </c>
      <c r="R21" s="2"/>
      <c r="S21" s="2"/>
      <c r="T21" s="29"/>
      <c r="U21" s="30"/>
      <c r="V21" s="31" t="s">
        <v>57</v>
      </c>
      <c r="W21" s="33">
        <f>ROUNDDOWN(W20,0)</f>
        <v>113</v>
      </c>
      <c r="X21" s="29"/>
      <c r="Y21" s="30"/>
      <c r="Z21" s="31" t="s">
        <v>57</v>
      </c>
      <c r="AA21" s="33">
        <f>ROUNDDOWN(AA20,0)</f>
        <v>447</v>
      </c>
      <c r="AH21" s="2"/>
      <c r="AI21" s="24" t="s">
        <v>51</v>
      </c>
      <c r="AJ21" s="26">
        <f>AL19/AN17</f>
        <v>10.102594389064073</v>
      </c>
      <c r="AK21" s="2"/>
      <c r="AL21" s="2"/>
      <c r="AM21" s="29"/>
      <c r="AN21" s="30"/>
      <c r="AO21" s="31" t="s">
        <v>57</v>
      </c>
      <c r="AP21" s="33">
        <f>ROUNDDOWN(AP20,0)</f>
        <v>225</v>
      </c>
      <c r="AQ21" s="29"/>
      <c r="AR21" s="30"/>
      <c r="AS21" s="31" t="s">
        <v>57</v>
      </c>
      <c r="AT21" s="33">
        <f>ROUNDDOWN(AT20,0)</f>
        <v>873</v>
      </c>
    </row>
    <row r="22" spans="2:46" x14ac:dyDescent="0.3">
      <c r="B22" s="5"/>
      <c r="C22" s="5"/>
      <c r="D22" s="6">
        <v>2020</v>
      </c>
      <c r="E22" s="7">
        <v>387.5</v>
      </c>
      <c r="F22" s="7">
        <v>2.72</v>
      </c>
      <c r="G22" s="7">
        <v>9.4</v>
      </c>
      <c r="H22" s="7">
        <v>9.4600000000000009</v>
      </c>
      <c r="K22" s="41" t="s">
        <v>25</v>
      </c>
      <c r="L22" s="42">
        <v>34</v>
      </c>
      <c r="O22" s="2"/>
      <c r="P22" s="24" t="s">
        <v>53</v>
      </c>
      <c r="Q22" s="25">
        <f>_xlfn.T.INV(0.975,9)</f>
        <v>2.2621571627982049</v>
      </c>
      <c r="R22" s="2"/>
      <c r="S22" s="2"/>
      <c r="T22" s="29"/>
      <c r="U22" s="29">
        <v>2</v>
      </c>
      <c r="V22" s="31" t="s">
        <v>56</v>
      </c>
      <c r="W22" s="32">
        <f>_xlfn.T.INV(0.975,W21-1)</f>
        <v>1.9813718148763031</v>
      </c>
      <c r="X22" s="29"/>
      <c r="Y22" s="29">
        <v>2</v>
      </c>
      <c r="Z22" s="31" t="s">
        <v>56</v>
      </c>
      <c r="AA22" s="32">
        <f>_xlfn.T.INV(0.975,AA21-1)</f>
        <v>1.9652971965789798</v>
      </c>
      <c r="AH22" s="2"/>
      <c r="AI22" s="24" t="s">
        <v>53</v>
      </c>
      <c r="AJ22" s="25">
        <f>_xlfn.T.INV(0.975,9)</f>
        <v>2.2621571627982049</v>
      </c>
      <c r="AK22" s="2"/>
      <c r="AL22" s="2"/>
      <c r="AM22" s="29"/>
      <c r="AN22" s="29">
        <v>2</v>
      </c>
      <c r="AO22" s="31" t="s">
        <v>56</v>
      </c>
      <c r="AP22" s="32">
        <f>_xlfn.T.INV(0.975,AP21-1)</f>
        <v>1.9706109611023637</v>
      </c>
      <c r="AQ22" s="29"/>
      <c r="AR22" s="29">
        <v>2</v>
      </c>
      <c r="AS22" s="31" t="s">
        <v>56</v>
      </c>
      <c r="AT22" s="32">
        <f>_xlfn.T.INV(0.975,AT21-1)</f>
        <v>1.962688194866099</v>
      </c>
    </row>
    <row r="23" spans="2:46" x14ac:dyDescent="0.3">
      <c r="B23" s="5"/>
      <c r="C23" s="5"/>
      <c r="D23" s="6">
        <v>3009</v>
      </c>
      <c r="E23" s="7">
        <v>281.25</v>
      </c>
      <c r="F23" s="7">
        <v>1.48</v>
      </c>
      <c r="G23" s="7">
        <v>7.94</v>
      </c>
      <c r="H23" s="7">
        <v>8.19</v>
      </c>
      <c r="O23" s="2"/>
      <c r="P23" s="24" t="s">
        <v>48</v>
      </c>
      <c r="Q23" s="27">
        <f>Q22*(SQRT(Q20))</f>
        <v>81.747112394577826</v>
      </c>
      <c r="R23" s="2"/>
      <c r="S23" s="2"/>
      <c r="T23" s="29"/>
      <c r="U23" s="29"/>
      <c r="V23" s="31" t="s">
        <v>55</v>
      </c>
      <c r="W23" s="32">
        <f>$Z$17/(($L$17^2)*(10^2/W22^2)+$AA$17)</f>
        <v>87.480857931583628</v>
      </c>
      <c r="X23" s="29"/>
      <c r="Y23" s="29"/>
      <c r="Z23" s="31" t="s">
        <v>55</v>
      </c>
      <c r="AA23" s="32">
        <f>$Z$17/(($L$17^2)*(5^2/AA22^2)+$AA$17)</f>
        <v>339.9045269688886</v>
      </c>
      <c r="AH23" s="2"/>
      <c r="AI23" s="24" t="s">
        <v>48</v>
      </c>
      <c r="AJ23" s="27">
        <f>AJ22*(SQRT(AJ20))</f>
        <v>1.0701565885431765</v>
      </c>
      <c r="AK23" s="2"/>
      <c r="AL23" s="2"/>
      <c r="AM23" s="29"/>
      <c r="AN23" s="29"/>
      <c r="AO23" s="31" t="s">
        <v>55</v>
      </c>
      <c r="AP23" s="32">
        <f>$AS$17/(($L$17^2)*(10^2/AP22^2)+$AT$17)</f>
        <v>171.7511268370433</v>
      </c>
      <c r="AQ23" s="29"/>
      <c r="AR23" s="29"/>
      <c r="AS23" s="31" t="s">
        <v>55</v>
      </c>
      <c r="AT23" s="32">
        <f>$AS$17/(($L$17^2)*(5^2/AT22^2)+$AT$17)</f>
        <v>664.55396333271096</v>
      </c>
    </row>
    <row r="24" spans="2:46" x14ac:dyDescent="0.3">
      <c r="B24" s="5"/>
      <c r="C24" s="5"/>
      <c r="D24" s="6">
        <v>3042</v>
      </c>
      <c r="E24" s="7">
        <v>218.75</v>
      </c>
      <c r="F24" s="7">
        <v>0.98</v>
      </c>
      <c r="G24" s="7">
        <v>7.25</v>
      </c>
      <c r="H24" s="7">
        <v>7.54</v>
      </c>
      <c r="O24" s="2"/>
      <c r="P24" s="24" t="s">
        <v>49</v>
      </c>
      <c r="Q24" s="28">
        <f>Q23/Q19</f>
        <v>0.30117936840975057</v>
      </c>
      <c r="R24" s="2"/>
      <c r="S24" s="2"/>
      <c r="T24" s="29"/>
      <c r="U24" s="29"/>
      <c r="V24" s="31" t="s">
        <v>57</v>
      </c>
      <c r="W24" s="33">
        <f>ROUNDDOWN(W23,0)</f>
        <v>87</v>
      </c>
      <c r="X24" s="29"/>
      <c r="Y24" s="29"/>
      <c r="Z24" s="31" t="s">
        <v>57</v>
      </c>
      <c r="AA24" s="33">
        <f>ROUNDDOWN(AA23,0)</f>
        <v>339</v>
      </c>
      <c r="AH24" s="2"/>
      <c r="AI24" s="24" t="s">
        <v>49</v>
      </c>
      <c r="AJ24" s="28">
        <f>AJ23/AJ19</f>
        <v>0.4416942884798099</v>
      </c>
      <c r="AK24" s="2"/>
      <c r="AL24" s="2"/>
      <c r="AM24" s="29"/>
      <c r="AN24" s="29"/>
      <c r="AO24" s="31" t="s">
        <v>57</v>
      </c>
      <c r="AP24" s="33">
        <f>ROUNDDOWN(AP23,0)</f>
        <v>171</v>
      </c>
      <c r="AQ24" s="29"/>
      <c r="AR24" s="29"/>
      <c r="AS24" s="31" t="s">
        <v>57</v>
      </c>
      <c r="AT24" s="33">
        <f>ROUNDDOWN(AT23,0)</f>
        <v>664</v>
      </c>
    </row>
    <row r="25" spans="2:46" x14ac:dyDescent="0.3">
      <c r="B25" s="5" t="s">
        <v>16</v>
      </c>
      <c r="C25" s="5">
        <v>559.93600000000004</v>
      </c>
      <c r="D25" s="6">
        <v>1002</v>
      </c>
      <c r="E25" s="7">
        <v>181.25</v>
      </c>
      <c r="F25" s="7">
        <v>0.74</v>
      </c>
      <c r="G25" s="7">
        <v>6.8</v>
      </c>
      <c r="H25" s="7">
        <v>7.19</v>
      </c>
      <c r="O25" s="2"/>
      <c r="P25" s="2"/>
      <c r="Q25" s="2"/>
      <c r="R25" s="2"/>
      <c r="S25" s="2"/>
      <c r="T25" s="29"/>
      <c r="U25" s="29">
        <v>3</v>
      </c>
      <c r="V25" s="31" t="s">
        <v>56</v>
      </c>
      <c r="W25" s="32">
        <f>_xlfn.T.INV(0.975,W24-1)</f>
        <v>1.987934206239018</v>
      </c>
      <c r="X25" s="29"/>
      <c r="Y25" s="29">
        <v>3</v>
      </c>
      <c r="Z25" s="31" t="s">
        <v>56</v>
      </c>
      <c r="AA25" s="32">
        <f>_xlfn.T.INV(0.975,AA24-1)</f>
        <v>1.9670073106672492</v>
      </c>
      <c r="AH25" s="2"/>
      <c r="AI25" s="2"/>
      <c r="AJ25" s="2"/>
      <c r="AK25" s="2"/>
      <c r="AL25" s="2"/>
      <c r="AM25" s="29"/>
      <c r="AN25" s="29">
        <v>3</v>
      </c>
      <c r="AO25" s="31" t="s">
        <v>56</v>
      </c>
      <c r="AP25" s="32">
        <f>_xlfn.T.INV(0.975,AP24-1)</f>
        <v>1.974016707630968</v>
      </c>
      <c r="AQ25" s="29"/>
      <c r="AR25" s="29">
        <v>3</v>
      </c>
      <c r="AS25" s="31" t="s">
        <v>56</v>
      </c>
      <c r="AT25" s="32">
        <f>_xlfn.T.INV(0.975,AT24-1)</f>
        <v>1.9635485006977025</v>
      </c>
    </row>
    <row r="26" spans="2:46" x14ac:dyDescent="0.3">
      <c r="B26" s="5"/>
      <c r="C26" s="5"/>
      <c r="D26" s="6">
        <v>1026</v>
      </c>
      <c r="E26" s="7">
        <v>200</v>
      </c>
      <c r="F26" s="7">
        <v>1.18</v>
      </c>
      <c r="G26" s="7">
        <v>5.72</v>
      </c>
      <c r="H26" s="7">
        <v>8.67</v>
      </c>
      <c r="O26" s="2"/>
      <c r="P26" s="2"/>
      <c r="Q26" s="2"/>
      <c r="R26" s="2"/>
      <c r="S26" s="2"/>
      <c r="T26" s="29"/>
      <c r="U26" s="29"/>
      <c r="V26" s="31" t="s">
        <v>55</v>
      </c>
      <c r="W26" s="32">
        <f>$Z$17/(($L$17^2)*(10^2/W25^2)+$AA$17)</f>
        <v>88.058742887291203</v>
      </c>
      <c r="X26" s="29"/>
      <c r="Y26" s="29"/>
      <c r="Z26" s="31" t="s">
        <v>55</v>
      </c>
      <c r="AA26" s="32">
        <f>$Z$17/(($L$17^2)*(5^2/AA25^2)+$AA$17)</f>
        <v>340.48624895957903</v>
      </c>
      <c r="AH26" s="2"/>
      <c r="AI26" s="2"/>
      <c r="AJ26" s="2"/>
      <c r="AK26" s="2"/>
      <c r="AL26" s="2"/>
      <c r="AM26" s="29"/>
      <c r="AN26" s="29"/>
      <c r="AO26" s="31" t="s">
        <v>55</v>
      </c>
      <c r="AP26" s="32">
        <f>$AS$17/(($L$17^2)*(10^2/AP25^2)+$AT$17)</f>
        <v>172.34018422805778</v>
      </c>
      <c r="AQ26" s="29"/>
      <c r="AR26" s="29"/>
      <c r="AS26" s="31" t="s">
        <v>55</v>
      </c>
      <c r="AT26" s="32">
        <f>$AS$17/(($L$17^2)*(5^2/AT25^2)+$AT$17)</f>
        <v>665.11730065143934</v>
      </c>
    </row>
    <row r="27" spans="2:46" x14ac:dyDescent="0.3">
      <c r="B27" s="5"/>
      <c r="C27" s="5"/>
      <c r="D27" s="6">
        <v>1028</v>
      </c>
      <c r="E27" s="7">
        <v>137.5</v>
      </c>
      <c r="F27" s="7">
        <v>0.76</v>
      </c>
      <c r="G27" s="7">
        <v>8.02</v>
      </c>
      <c r="H27" s="7">
        <v>8.41</v>
      </c>
      <c r="O27" s="2"/>
      <c r="P27" s="2"/>
      <c r="Q27" s="2"/>
      <c r="R27" s="2"/>
      <c r="S27" s="2"/>
      <c r="T27" s="29"/>
      <c r="U27" s="29"/>
      <c r="V27" s="31" t="s">
        <v>57</v>
      </c>
      <c r="W27" s="34">
        <f>ROUNDDOWN(W26,0)</f>
        <v>88</v>
      </c>
      <c r="X27" s="29"/>
      <c r="Y27" s="29"/>
      <c r="Z27" s="31" t="s">
        <v>57</v>
      </c>
      <c r="AA27" s="34">
        <f>ROUNDDOWN(AA26,0)</f>
        <v>340</v>
      </c>
      <c r="AH27" s="2"/>
      <c r="AI27" s="2"/>
      <c r="AJ27" s="2"/>
      <c r="AK27" s="2"/>
      <c r="AL27" s="2"/>
      <c r="AM27" s="29"/>
      <c r="AN27" s="29"/>
      <c r="AO27" s="31" t="s">
        <v>57</v>
      </c>
      <c r="AP27" s="34">
        <f>ROUNDDOWN(AP26,0)</f>
        <v>172</v>
      </c>
      <c r="AQ27" s="29"/>
      <c r="AR27" s="29"/>
      <c r="AS27" s="31" t="s">
        <v>57</v>
      </c>
      <c r="AT27" s="34">
        <f>ROUNDDOWN(AT26,0)</f>
        <v>665</v>
      </c>
    </row>
    <row r="28" spans="2:46" x14ac:dyDescent="0.3">
      <c r="B28" s="5"/>
      <c r="C28" s="5"/>
      <c r="D28" s="6">
        <v>2013</v>
      </c>
      <c r="E28" s="7">
        <v>168.75</v>
      </c>
      <c r="F28" s="7">
        <v>0.55000000000000004</v>
      </c>
      <c r="G28" s="7">
        <v>6.27</v>
      </c>
      <c r="H28" s="7">
        <v>6.42</v>
      </c>
      <c r="AB28" s="2"/>
    </row>
    <row r="29" spans="2:46" x14ac:dyDescent="0.3">
      <c r="B29" s="5"/>
      <c r="C29" s="5"/>
      <c r="D29" s="6">
        <v>3004</v>
      </c>
      <c r="E29" s="7">
        <v>131.25</v>
      </c>
      <c r="F29" s="7">
        <v>0.52</v>
      </c>
      <c r="G29" s="7">
        <v>6.56</v>
      </c>
      <c r="H29" s="7">
        <v>7.1</v>
      </c>
      <c r="AB29" s="2"/>
    </row>
    <row r="30" spans="2:46" ht="15.6" x14ac:dyDescent="0.3">
      <c r="B30" s="5"/>
      <c r="C30" s="5"/>
      <c r="D30" s="6">
        <v>4002</v>
      </c>
      <c r="E30" s="7">
        <v>200</v>
      </c>
      <c r="F30" s="7">
        <v>0.66</v>
      </c>
      <c r="G30" s="7">
        <v>6.21</v>
      </c>
      <c r="H30" s="7">
        <v>6.49</v>
      </c>
      <c r="J30" s="38" t="s">
        <v>31</v>
      </c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  <c r="AC30" s="11" t="s">
        <v>61</v>
      </c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</row>
    <row r="31" spans="2:46" ht="39.6" x14ac:dyDescent="0.3">
      <c r="B31" s="8"/>
      <c r="C31" s="8"/>
      <c r="D31" s="6">
        <v>4010</v>
      </c>
      <c r="E31" s="7">
        <v>143.75</v>
      </c>
      <c r="F31" s="7">
        <v>0.96</v>
      </c>
      <c r="G31" s="7">
        <v>3.93</v>
      </c>
      <c r="H31" s="7">
        <v>9.2200000000000006</v>
      </c>
      <c r="J31" s="12" t="s">
        <v>8</v>
      </c>
      <c r="K31" s="12" t="s">
        <v>10</v>
      </c>
      <c r="L31" s="13" t="s">
        <v>24</v>
      </c>
      <c r="M31" s="14" t="s">
        <v>25</v>
      </c>
      <c r="N31" s="14" t="s">
        <v>26</v>
      </c>
      <c r="O31" s="14" t="s">
        <v>27</v>
      </c>
      <c r="P31" s="14" t="s">
        <v>45</v>
      </c>
      <c r="Q31" s="14" t="s">
        <v>46</v>
      </c>
      <c r="R31" s="14" t="s">
        <v>33</v>
      </c>
      <c r="S31" s="14" t="s">
        <v>34</v>
      </c>
      <c r="T31" s="14" t="s">
        <v>35</v>
      </c>
      <c r="U31" s="14" t="s">
        <v>36</v>
      </c>
      <c r="V31" s="14" t="s">
        <v>37</v>
      </c>
      <c r="W31" s="14" t="s">
        <v>38</v>
      </c>
      <c r="X31" s="14" t="s">
        <v>39</v>
      </c>
      <c r="Y31" s="14" t="s">
        <v>40</v>
      </c>
      <c r="Z31" s="14" t="s">
        <v>41</v>
      </c>
      <c r="AA31" s="14" t="s">
        <v>42</v>
      </c>
      <c r="AC31" s="12" t="s">
        <v>8</v>
      </c>
      <c r="AD31" s="12" t="s">
        <v>10</v>
      </c>
      <c r="AE31" s="13" t="s">
        <v>24</v>
      </c>
      <c r="AF31" s="14" t="s">
        <v>25</v>
      </c>
      <c r="AG31" s="14" t="s">
        <v>26</v>
      </c>
      <c r="AH31" s="14" t="s">
        <v>27</v>
      </c>
      <c r="AI31" s="14" t="s">
        <v>45</v>
      </c>
      <c r="AJ31" s="14" t="s">
        <v>46</v>
      </c>
      <c r="AK31" s="14" t="s">
        <v>33</v>
      </c>
      <c r="AL31" s="14" t="s">
        <v>34</v>
      </c>
      <c r="AM31" s="14" t="s">
        <v>35</v>
      </c>
      <c r="AN31" s="14" t="s">
        <v>36</v>
      </c>
      <c r="AO31" s="14" t="s">
        <v>37</v>
      </c>
      <c r="AP31" s="14" t="s">
        <v>38</v>
      </c>
      <c r="AQ31" s="14" t="s">
        <v>39</v>
      </c>
      <c r="AR31" s="14" t="s">
        <v>40</v>
      </c>
      <c r="AS31" s="14" t="s">
        <v>41</v>
      </c>
      <c r="AT31" s="14" t="s">
        <v>42</v>
      </c>
    </row>
    <row r="32" spans="2:46" x14ac:dyDescent="0.3">
      <c r="B32" s="5" t="s">
        <v>17</v>
      </c>
      <c r="C32" s="5">
        <v>552.92899999999997</v>
      </c>
      <c r="D32" s="6">
        <v>1025</v>
      </c>
      <c r="E32" s="7">
        <v>112.5</v>
      </c>
      <c r="F32" s="7">
        <v>0.87</v>
      </c>
      <c r="G32" s="7">
        <v>4.3</v>
      </c>
      <c r="H32" s="7">
        <v>9.91</v>
      </c>
      <c r="J32" s="15" t="s">
        <v>20</v>
      </c>
      <c r="K32" s="15">
        <f>$C$14</f>
        <v>1333.9</v>
      </c>
      <c r="L32" s="16">
        <f>(K32*10000)/$L$21</f>
        <v>8336.875</v>
      </c>
      <c r="M32" s="17">
        <v>11</v>
      </c>
      <c r="N32" s="18">
        <f>L32*(L32-M32)/M32</f>
        <v>6310161.7400568184</v>
      </c>
      <c r="O32" s="18">
        <f>_xlfn.VAR.S(G14:G24)</f>
        <v>5.2510472727272601</v>
      </c>
      <c r="P32" s="18">
        <f>AVERAGE(G14:G24)</f>
        <v>8.5045454545454557</v>
      </c>
      <c r="Q32" s="19">
        <f>P32*L32</f>
        <v>70901.332386363647</v>
      </c>
      <c r="R32" s="20">
        <f>(L32^2)*O32/M32</f>
        <v>33178734.920325074</v>
      </c>
      <c r="S32" s="20">
        <f>N32*(O32)</f>
        <v>33134957.595593259</v>
      </c>
      <c r="T32" s="20">
        <f>S32^2</f>
        <v>1097925414861763.4</v>
      </c>
      <c r="U32" s="20">
        <f>T32/(M32-1)</f>
        <v>109792541486176.34</v>
      </c>
      <c r="V32" s="19">
        <f>(SQRT(O32)/P32)*100</f>
        <v>26.944607233562884</v>
      </c>
      <c r="W32" s="19">
        <f>L32^2</f>
        <v>69503484.765625</v>
      </c>
      <c r="X32" s="19">
        <f>V32^2</f>
        <v>726.01185897096934</v>
      </c>
      <c r="Y32" s="19">
        <f>K32/$K$17</f>
        <v>0.41684374999999996</v>
      </c>
      <c r="Z32" s="20">
        <f>(W32*X32)/Y32</f>
        <v>121053402335.17201</v>
      </c>
      <c r="AA32" s="19">
        <f>L32*X32</f>
        <v>6052670.1167585999</v>
      </c>
      <c r="AC32" s="15" t="s">
        <v>20</v>
      </c>
      <c r="AD32" s="15">
        <f>$C$14</f>
        <v>1333.9</v>
      </c>
      <c r="AE32" s="16">
        <f>(AD32*10000)/$L$21</f>
        <v>8336.875</v>
      </c>
      <c r="AF32" s="17">
        <v>11</v>
      </c>
      <c r="AG32" s="18">
        <f>AE32*(AE32-AF32)/AF32</f>
        <v>6310161.7400568184</v>
      </c>
      <c r="AH32" s="18">
        <f>_xlfn.VAR.S(H14:H24)</f>
        <v>7.3210418181817882</v>
      </c>
      <c r="AI32" s="18">
        <f>AVERAGE(H14:H24)</f>
        <v>10.457272727272729</v>
      </c>
      <c r="AJ32" s="19">
        <f>AI32*AE32</f>
        <v>87180.975568181835</v>
      </c>
      <c r="AK32" s="20">
        <f>(AE32^2)*AH32/AF32</f>
        <v>46257992.58895468</v>
      </c>
      <c r="AL32" s="20">
        <f>AG32*(AH32)</f>
        <v>46196957.978446729</v>
      </c>
      <c r="AM32" s="20">
        <f>AL32^2</f>
        <v>2134158926462373</v>
      </c>
      <c r="AN32" s="20">
        <f>AM32/(AF32-1)</f>
        <v>213415892646237.31</v>
      </c>
      <c r="AO32" s="19">
        <f>(SQRT(AH32)/AI32)*100</f>
        <v>25.874264246041314</v>
      </c>
      <c r="AP32" s="19">
        <f>AE32^2</f>
        <v>69503484.765625</v>
      </c>
      <c r="AQ32" s="19">
        <f>AO32^2</f>
        <v>669.47755027397181</v>
      </c>
      <c r="AR32" s="19">
        <f>AD32/$K$17</f>
        <v>0.41684374999999996</v>
      </c>
      <c r="AS32" s="20">
        <f>(AP32*AQ32)/AR32</f>
        <v>111627013038.80638</v>
      </c>
      <c r="AT32" s="19">
        <f>AE32*AQ32</f>
        <v>5581350.6519403188</v>
      </c>
    </row>
    <row r="33" spans="2:46" x14ac:dyDescent="0.3">
      <c r="B33" s="8"/>
      <c r="C33" s="8"/>
      <c r="D33" s="6">
        <v>1029</v>
      </c>
      <c r="E33" s="7">
        <v>125</v>
      </c>
      <c r="F33" s="7">
        <v>1.05</v>
      </c>
      <c r="G33" s="7">
        <v>3.43</v>
      </c>
      <c r="H33" s="7">
        <v>10.37</v>
      </c>
      <c r="J33" s="15" t="s">
        <v>21</v>
      </c>
      <c r="K33" s="15">
        <f>$C$25</f>
        <v>559.93600000000004</v>
      </c>
      <c r="L33" s="16">
        <f>(K33*10000)/$L$21</f>
        <v>3499.6</v>
      </c>
      <c r="M33" s="17">
        <v>7</v>
      </c>
      <c r="N33" s="18">
        <f t="shared" ref="N33:N35" si="24">L33*(L33-M33)/M33</f>
        <v>1746100.4228571428</v>
      </c>
      <c r="O33" s="18">
        <f>_xlfn.VAR.S(G25:G31)</f>
        <v>1.5314285714285727</v>
      </c>
      <c r="P33" s="18">
        <f>AVERAGE(G25:G31)</f>
        <v>6.2157142857142853</v>
      </c>
      <c r="Q33" s="19">
        <f t="shared" ref="Q33:Q35" si="25">P33*L33</f>
        <v>21752.513714285713</v>
      </c>
      <c r="R33" s="20">
        <f t="shared" ref="R33:R35" si="26">(L33^2)*O33/M33</f>
        <v>2679387.4635755126</v>
      </c>
      <c r="S33" s="20">
        <f t="shared" ref="S33:S35" si="27">N33*(O33)</f>
        <v>2674028.0761469407</v>
      </c>
      <c r="T33" s="20">
        <f t="shared" ref="T33:T35" si="28">S33^2</f>
        <v>7150426152022.1094</v>
      </c>
      <c r="U33" s="20">
        <f t="shared" ref="U33:U35" si="29">T33/(M33-1)</f>
        <v>1191737692003.6848</v>
      </c>
      <c r="V33" s="19">
        <f t="shared" ref="V33:V35" si="30">(SQRT(O33)/P33)*100</f>
        <v>19.909361367692693</v>
      </c>
      <c r="W33" s="19">
        <f t="shared" ref="W33:W35" si="31">L33^2</f>
        <v>12247200.16</v>
      </c>
      <c r="X33" s="19">
        <f t="shared" ref="X33:X35" si="32">V33^2</f>
        <v>396.38267006937423</v>
      </c>
      <c r="Y33" s="19">
        <f t="shared" ref="Y33:Y35" si="33">K33/$K$17</f>
        <v>0.17498</v>
      </c>
      <c r="Z33" s="20">
        <f t="shared" ref="Z33:Z35" si="34">(W33*X33)/Y33</f>
        <v>27743615843.495644</v>
      </c>
      <c r="AA33" s="19">
        <f t="shared" ref="AA33:AA35" si="35">L33*X33</f>
        <v>1387180.7921747819</v>
      </c>
      <c r="AC33" s="15" t="s">
        <v>21</v>
      </c>
      <c r="AD33" s="15">
        <f>$C$25</f>
        <v>559.93600000000004</v>
      </c>
      <c r="AE33" s="16">
        <f>(AD33*10000)/$L$21</f>
        <v>3499.6</v>
      </c>
      <c r="AF33" s="17">
        <v>7</v>
      </c>
      <c r="AG33" s="18">
        <f t="shared" ref="AG33:AG35" si="36">AE33*(AE33-AF33)/AF33</f>
        <v>1746100.4228571428</v>
      </c>
      <c r="AH33" s="18">
        <f>_xlfn.VAR.S(H25:H31)</f>
        <v>1.2425238095237983</v>
      </c>
      <c r="AI33" s="18">
        <f>AVERAGE(H25:H31)</f>
        <v>7.6428571428571432</v>
      </c>
      <c r="AJ33" s="19">
        <f t="shared" ref="AJ33:AJ35" si="37">AI33*AE33</f>
        <v>26746.942857142858</v>
      </c>
      <c r="AK33" s="20">
        <f t="shared" ref="AK33:AK35" si="38">(AE33^2)*AH33/AF33</f>
        <v>2173919.6855433816</v>
      </c>
      <c r="AL33" s="20">
        <f t="shared" ref="AL33:AL35" si="39">AG33*(AH33)</f>
        <v>2169571.3492195723</v>
      </c>
      <c r="AM33" s="20">
        <f t="shared" ref="AM33:AM35" si="40">AL33^2</f>
        <v>4707039839354.4355</v>
      </c>
      <c r="AN33" s="20">
        <f t="shared" ref="AN33:AN35" si="41">AM33/(AF33-1)</f>
        <v>784506639892.40588</v>
      </c>
      <c r="AO33" s="19">
        <f t="shared" ref="AO33:AO35" si="42">(SQRT(AH33)/AI33)*100</f>
        <v>14.5846703611625</v>
      </c>
      <c r="AP33" s="19">
        <f t="shared" ref="AP33:AP35" si="43">AE33^2</f>
        <v>12247200.16</v>
      </c>
      <c r="AQ33" s="19">
        <f t="shared" ref="AQ33:AQ35" si="44">AO33^2</f>
        <v>212.71260954377189</v>
      </c>
      <c r="AR33" s="19">
        <f t="shared" ref="AR33:AR35" si="45">AD33/$K$17</f>
        <v>0.17498</v>
      </c>
      <c r="AS33" s="20">
        <f t="shared" ref="AS33:AS35" si="46">(AP33*AQ33)/AR33</f>
        <v>14888180967.187683</v>
      </c>
      <c r="AT33" s="19">
        <f t="shared" ref="AT33:AT35" si="47">AE33*AQ33</f>
        <v>744409.04835938406</v>
      </c>
    </row>
    <row r="34" spans="2:46" x14ac:dyDescent="0.3">
      <c r="B34" s="5"/>
      <c r="C34" s="5"/>
      <c r="D34" s="6">
        <v>1031</v>
      </c>
      <c r="E34" s="7">
        <v>125</v>
      </c>
      <c r="F34" s="7">
        <v>1.31</v>
      </c>
      <c r="G34" s="7">
        <v>2.95</v>
      </c>
      <c r="H34" s="7">
        <v>11.57</v>
      </c>
      <c r="J34" s="15" t="s">
        <v>22</v>
      </c>
      <c r="K34" s="15">
        <f>$C$32</f>
        <v>552.92899999999997</v>
      </c>
      <c r="L34" s="16">
        <f>(K34*10000)/$L$21</f>
        <v>3455.8062500000001</v>
      </c>
      <c r="M34" s="17">
        <v>6</v>
      </c>
      <c r="N34" s="18">
        <f t="shared" si="24"/>
        <v>1986977.0000065106</v>
      </c>
      <c r="O34" s="18">
        <f>_xlfn.VAR.S(G32:G37)</f>
        <v>3.2004399999999977</v>
      </c>
      <c r="P34" s="18">
        <f>AVERAGE(G32:G37)</f>
        <v>5.1100000000000003</v>
      </c>
      <c r="Q34" s="19">
        <f t="shared" si="25"/>
        <v>17659.169937500003</v>
      </c>
      <c r="R34" s="20">
        <f t="shared" si="26"/>
        <v>6370260.770455583</v>
      </c>
      <c r="S34" s="20">
        <f t="shared" si="27"/>
        <v>6359200.6699008327</v>
      </c>
      <c r="T34" s="20">
        <f t="shared" si="28"/>
        <v>40439433160067.203</v>
      </c>
      <c r="U34" s="20">
        <f t="shared" si="29"/>
        <v>8087886632013.4404</v>
      </c>
      <c r="V34" s="19">
        <f t="shared" si="30"/>
        <v>35.00934171255026</v>
      </c>
      <c r="W34" s="19">
        <f t="shared" si="31"/>
        <v>11942596.837539064</v>
      </c>
      <c r="X34" s="19">
        <f t="shared" si="32"/>
        <v>1225.6540071461116</v>
      </c>
      <c r="Y34" s="19">
        <f t="shared" si="33"/>
        <v>0.17279031249999996</v>
      </c>
      <c r="Z34" s="20">
        <f t="shared" si="34"/>
        <v>84712455564.66156</v>
      </c>
      <c r="AA34" s="19">
        <f t="shared" si="35"/>
        <v>4235622.7782330774</v>
      </c>
      <c r="AC34" s="15" t="s">
        <v>22</v>
      </c>
      <c r="AD34" s="15">
        <f>$C$32</f>
        <v>552.92899999999997</v>
      </c>
      <c r="AE34" s="16">
        <f>(AD34*10000)/$L$21</f>
        <v>3455.8062500000001</v>
      </c>
      <c r="AF34" s="17">
        <v>6</v>
      </c>
      <c r="AG34" s="18">
        <f t="shared" si="36"/>
        <v>1986977.0000065106</v>
      </c>
      <c r="AH34" s="18">
        <f>_xlfn.VAR.S(H32:H37)</f>
        <v>4.9909866666666627</v>
      </c>
      <c r="AI34" s="18">
        <f>AVERAGE(H32:H37)</f>
        <v>8.7133333333333329</v>
      </c>
      <c r="AJ34" s="19">
        <f t="shared" si="37"/>
        <v>30111.591791666666</v>
      </c>
      <c r="AK34" s="20">
        <f t="shared" si="38"/>
        <v>9934223.5969221536</v>
      </c>
      <c r="AL34" s="20">
        <f t="shared" si="39"/>
        <v>9916975.7140058205</v>
      </c>
      <c r="AM34" s="20">
        <f t="shared" si="40"/>
        <v>98346407312181.25</v>
      </c>
      <c r="AN34" s="20">
        <f t="shared" si="41"/>
        <v>19669281462436.25</v>
      </c>
      <c r="AO34" s="19">
        <f t="shared" si="42"/>
        <v>25.639460127586123</v>
      </c>
      <c r="AP34" s="19">
        <f t="shared" si="43"/>
        <v>11942596.837539064</v>
      </c>
      <c r="AQ34" s="19">
        <f t="shared" si="44"/>
        <v>657.38191563407861</v>
      </c>
      <c r="AR34" s="19">
        <f t="shared" si="45"/>
        <v>0.17279031249999996</v>
      </c>
      <c r="AS34" s="20">
        <f t="shared" si="46"/>
        <v>45435690653.704445</v>
      </c>
      <c r="AT34" s="19">
        <f t="shared" si="47"/>
        <v>2271784.5326852216</v>
      </c>
    </row>
    <row r="35" spans="2:46" x14ac:dyDescent="0.3">
      <c r="B35" s="5"/>
      <c r="C35" s="5"/>
      <c r="D35" s="6">
        <v>2026</v>
      </c>
      <c r="E35" s="7">
        <v>93.75</v>
      </c>
      <c r="F35" s="7">
        <v>0.28999999999999998</v>
      </c>
      <c r="G35" s="7">
        <v>6.14</v>
      </c>
      <c r="H35" s="7">
        <v>6.28</v>
      </c>
      <c r="J35" s="15" t="s">
        <v>23</v>
      </c>
      <c r="K35" s="15">
        <f>$C$38</f>
        <v>753.23500000000001</v>
      </c>
      <c r="L35" s="16">
        <f>(K35*10000)/$L$21</f>
        <v>4707.71875</v>
      </c>
      <c r="M35" s="17">
        <v>10</v>
      </c>
      <c r="N35" s="18">
        <f t="shared" si="24"/>
        <v>2211553.8641601563</v>
      </c>
      <c r="O35" s="18">
        <f>_xlfn.VAR.S(G38:G47)</f>
        <v>0.42798222222222648</v>
      </c>
      <c r="P35" s="18">
        <f>AVERAGE(G38:G47)</f>
        <v>5.8739999999999997</v>
      </c>
      <c r="Q35" s="19">
        <f t="shared" si="25"/>
        <v>27653.1399375</v>
      </c>
      <c r="R35" s="20">
        <f t="shared" si="26"/>
        <v>948520.55727963778</v>
      </c>
      <c r="S35" s="20">
        <f t="shared" si="27"/>
        <v>946505.73734741576</v>
      </c>
      <c r="T35" s="20">
        <f t="shared" si="28"/>
        <v>895873110831.5752</v>
      </c>
      <c r="U35" s="20">
        <f t="shared" si="29"/>
        <v>99541456759.063904</v>
      </c>
      <c r="V35" s="19">
        <f t="shared" si="30"/>
        <v>11.137274466251819</v>
      </c>
      <c r="W35" s="19">
        <f t="shared" si="31"/>
        <v>22162615.829101563</v>
      </c>
      <c r="X35" s="19">
        <f t="shared" si="32"/>
        <v>124.03888253662474</v>
      </c>
      <c r="Y35" s="19">
        <f t="shared" si="33"/>
        <v>0.23538593749999998</v>
      </c>
      <c r="Z35" s="20">
        <f t="shared" si="34"/>
        <v>11678803460.934317</v>
      </c>
      <c r="AA35" s="19">
        <f t="shared" si="35"/>
        <v>583940.17304671591</v>
      </c>
      <c r="AC35" s="15" t="s">
        <v>23</v>
      </c>
      <c r="AD35" s="15">
        <f>$C$38</f>
        <v>753.23500000000001</v>
      </c>
      <c r="AE35" s="16">
        <f>(AD35*10000)/$L$21</f>
        <v>4707.71875</v>
      </c>
      <c r="AF35" s="17">
        <v>10</v>
      </c>
      <c r="AG35" s="18">
        <f t="shared" si="36"/>
        <v>2211553.8641601563</v>
      </c>
      <c r="AH35" s="18">
        <f>_xlfn.VAR.S(H38:H47)</f>
        <v>0.310161111111111</v>
      </c>
      <c r="AI35" s="18">
        <f>AVERAGE(H38:H47)</f>
        <v>5.8849999999999998</v>
      </c>
      <c r="AJ35" s="19">
        <f t="shared" si="37"/>
        <v>27704.924843749999</v>
      </c>
      <c r="AK35" s="20">
        <f t="shared" si="38"/>
        <v>687398.15506828367</v>
      </c>
      <c r="AL35" s="20">
        <f t="shared" si="39"/>
        <v>685938.00378998509</v>
      </c>
      <c r="AM35" s="20">
        <f t="shared" si="40"/>
        <v>470510945043.38959</v>
      </c>
      <c r="AN35" s="20">
        <f t="shared" si="41"/>
        <v>52278993893.709953</v>
      </c>
      <c r="AO35" s="19">
        <f t="shared" si="42"/>
        <v>9.4634001620806352</v>
      </c>
      <c r="AP35" s="19">
        <f t="shared" si="43"/>
        <v>22162615.829101563</v>
      </c>
      <c r="AQ35" s="19">
        <f t="shared" si="44"/>
        <v>89.55594262766779</v>
      </c>
      <c r="AR35" s="19">
        <f t="shared" si="45"/>
        <v>0.23538593749999998</v>
      </c>
      <c r="AS35" s="20">
        <f t="shared" si="46"/>
        <v>8432083805.6439199</v>
      </c>
      <c r="AT35" s="19">
        <f t="shared" si="47"/>
        <v>421604.19028219592</v>
      </c>
    </row>
    <row r="36" spans="2:46" x14ac:dyDescent="0.3">
      <c r="B36" s="5"/>
      <c r="C36" s="5"/>
      <c r="D36" s="6">
        <v>2037</v>
      </c>
      <c r="E36" s="7">
        <v>100</v>
      </c>
      <c r="F36" s="7">
        <v>0.49</v>
      </c>
      <c r="G36" s="7">
        <v>7.27</v>
      </c>
      <c r="H36" s="7">
        <v>7.89</v>
      </c>
      <c r="J36" s="15" t="s">
        <v>19</v>
      </c>
      <c r="K36" s="15">
        <f>SUM(K32:K35)</f>
        <v>3200.0000000000005</v>
      </c>
      <c r="L36" s="21">
        <f>SUM(L32:L35)</f>
        <v>20000</v>
      </c>
      <c r="M36" s="22">
        <f>SUM(M32:M35)</f>
        <v>34</v>
      </c>
      <c r="N36" s="22"/>
      <c r="O36" s="22"/>
      <c r="P36" s="22"/>
      <c r="Q36" s="22">
        <f>SUM(Q32:Q35)</f>
        <v>137966.15597564937</v>
      </c>
      <c r="R36" s="20">
        <f>SUM(R32:R35)</f>
        <v>43176903.711635813</v>
      </c>
      <c r="S36" s="20">
        <f>SUM(S32:S35)</f>
        <v>43114692.078988448</v>
      </c>
      <c r="T36" s="22"/>
      <c r="U36" s="36">
        <f>SUM(U32:U35)</f>
        <v>119171707266952.53</v>
      </c>
      <c r="V36" s="22"/>
      <c r="W36" s="22"/>
      <c r="X36" s="22"/>
      <c r="Y36" s="23" t="s">
        <v>54</v>
      </c>
      <c r="Z36" s="22">
        <f>SUM(Z32:Z35)</f>
        <v>245188277204.26355</v>
      </c>
      <c r="AA36" s="22">
        <f>SUM(AA32:AA35)</f>
        <v>12259413.860213175</v>
      </c>
      <c r="AC36" s="15" t="s">
        <v>19</v>
      </c>
      <c r="AD36" s="15">
        <f>SUM(AD32:AD35)</f>
        <v>3200.0000000000005</v>
      </c>
      <c r="AE36" s="21">
        <f>SUM(AE32:AE35)</f>
        <v>20000</v>
      </c>
      <c r="AF36" s="22">
        <f>SUM(AF32:AF35)</f>
        <v>34</v>
      </c>
      <c r="AG36" s="22"/>
      <c r="AH36" s="22"/>
      <c r="AI36" s="22"/>
      <c r="AJ36" s="22">
        <f>SUM(AJ32:AJ35)</f>
        <v>171744.43506074135</v>
      </c>
      <c r="AK36" s="20">
        <f>SUM(AK32:AK35)</f>
        <v>59053534.026488498</v>
      </c>
      <c r="AL36" s="20">
        <f>SUM(AL32:AL35)</f>
        <v>58969443.045462109</v>
      </c>
      <c r="AM36" s="22"/>
      <c r="AN36" s="36">
        <f>SUM(AN32:AN35)</f>
        <v>233921959742459.69</v>
      </c>
      <c r="AO36" s="22"/>
      <c r="AP36" s="22"/>
      <c r="AQ36" s="22"/>
      <c r="AR36" s="23" t="s">
        <v>54</v>
      </c>
      <c r="AS36" s="22">
        <f>SUM(AS32:AS35)</f>
        <v>180382968465.34244</v>
      </c>
      <c r="AT36" s="22">
        <f>SUM(AT32:AT35)</f>
        <v>9019148.4232671205</v>
      </c>
    </row>
    <row r="37" spans="2:46" ht="26.4" x14ac:dyDescent="0.3">
      <c r="B37" s="5"/>
      <c r="C37" s="5"/>
      <c r="D37" s="6">
        <v>4011</v>
      </c>
      <c r="E37" s="7">
        <v>112.5</v>
      </c>
      <c r="F37" s="7">
        <v>0.35</v>
      </c>
      <c r="G37" s="7">
        <v>6.57</v>
      </c>
      <c r="H37" s="7">
        <v>6.26</v>
      </c>
      <c r="O37" s="2"/>
      <c r="P37" s="2"/>
      <c r="Q37" s="2"/>
      <c r="R37" s="2"/>
      <c r="S37" s="3" t="s">
        <v>52</v>
      </c>
      <c r="T37" s="2"/>
      <c r="U37" s="2"/>
      <c r="V37" s="2"/>
      <c r="W37" s="2"/>
      <c r="X37" s="2"/>
      <c r="Y37" s="2"/>
      <c r="Z37" s="2"/>
      <c r="AA37" s="2"/>
      <c r="AH37" s="2"/>
      <c r="AI37" s="2"/>
      <c r="AJ37" s="2"/>
      <c r="AK37" s="2"/>
      <c r="AL37" s="3" t="s">
        <v>52</v>
      </c>
      <c r="AM37" s="2"/>
      <c r="AN37" s="2"/>
      <c r="AO37" s="2"/>
      <c r="AP37" s="2"/>
      <c r="AQ37" s="2"/>
      <c r="AR37" s="2"/>
      <c r="AS37" s="2"/>
      <c r="AT37" s="2"/>
    </row>
    <row r="38" spans="2:46" x14ac:dyDescent="0.3">
      <c r="B38" s="5" t="s">
        <v>18</v>
      </c>
      <c r="C38" s="5">
        <v>753.23500000000001</v>
      </c>
      <c r="D38" s="6">
        <v>1003</v>
      </c>
      <c r="E38" s="7">
        <v>87.5</v>
      </c>
      <c r="F38" s="7">
        <v>0.34</v>
      </c>
      <c r="G38" s="7">
        <v>7.55</v>
      </c>
      <c r="H38" s="7">
        <v>7.03</v>
      </c>
      <c r="O38" s="2"/>
      <c r="P38" s="24" t="s">
        <v>47</v>
      </c>
      <c r="Q38" s="25">
        <f>Q36/L36</f>
        <v>6.8983077987824686</v>
      </c>
      <c r="R38" s="2"/>
      <c r="S38" s="37">
        <f>S36^2</f>
        <v>1858876673065989.3</v>
      </c>
      <c r="T38" s="29" t="s">
        <v>58</v>
      </c>
      <c r="U38" s="30">
        <v>1</v>
      </c>
      <c r="V38" s="31" t="s">
        <v>56</v>
      </c>
      <c r="W38" s="32">
        <f>Q41</f>
        <v>2.1314495455597742</v>
      </c>
      <c r="X38" s="29" t="s">
        <v>59</v>
      </c>
      <c r="Y38" s="30">
        <v>1</v>
      </c>
      <c r="Z38" s="31" t="s">
        <v>56</v>
      </c>
      <c r="AA38" s="32">
        <f>Q41</f>
        <v>2.1314495455597742</v>
      </c>
      <c r="AH38" s="2"/>
      <c r="AI38" s="24" t="s">
        <v>47</v>
      </c>
      <c r="AJ38" s="25">
        <f>AJ36/AE36</f>
        <v>8.5872217530370669</v>
      </c>
      <c r="AK38" s="2"/>
      <c r="AL38" s="37">
        <f>AL36^2</f>
        <v>3477395213091999.5</v>
      </c>
      <c r="AM38" s="29" t="s">
        <v>58</v>
      </c>
      <c r="AN38" s="30">
        <v>1</v>
      </c>
      <c r="AO38" s="31" t="s">
        <v>56</v>
      </c>
      <c r="AP38" s="32">
        <f>AJ41</f>
        <v>2.1447866879178035</v>
      </c>
      <c r="AQ38" s="29" t="s">
        <v>59</v>
      </c>
      <c r="AR38" s="30">
        <v>1</v>
      </c>
      <c r="AS38" s="31" t="s">
        <v>56</v>
      </c>
      <c r="AT38" s="32">
        <f>AJ41</f>
        <v>2.1447866879178035</v>
      </c>
    </row>
    <row r="39" spans="2:46" x14ac:dyDescent="0.3">
      <c r="B39" s="8"/>
      <c r="C39" s="8"/>
      <c r="D39" s="6">
        <v>2029</v>
      </c>
      <c r="E39" s="7">
        <v>37.5</v>
      </c>
      <c r="F39" s="7">
        <v>0.11</v>
      </c>
      <c r="G39" s="7">
        <v>5.99</v>
      </c>
      <c r="H39" s="7">
        <v>6.05</v>
      </c>
      <c r="O39" s="2"/>
      <c r="P39" s="24" t="s">
        <v>50</v>
      </c>
      <c r="Q39" s="25">
        <f>R36/(L36^2)</f>
        <v>0.10794225927908953</v>
      </c>
      <c r="R39" s="2"/>
      <c r="S39" s="2"/>
      <c r="T39" s="29"/>
      <c r="U39" s="30"/>
      <c r="V39" s="31" t="s">
        <v>55</v>
      </c>
      <c r="W39" s="32">
        <f>$Z$36/(($L$17^2)*(10^2/W38^2)+$AA$36)</f>
        <v>27.809010690679475</v>
      </c>
      <c r="X39" s="29"/>
      <c r="Y39" s="30"/>
      <c r="Z39" s="31" t="s">
        <v>55</v>
      </c>
      <c r="AA39" s="32">
        <f>$Z$36/(($L$17^2)*(5^2/AA38^2)+$AA$36)</f>
        <v>110.77396560365972</v>
      </c>
      <c r="AH39" s="2"/>
      <c r="AI39" s="24" t="s">
        <v>50</v>
      </c>
      <c r="AJ39" s="25">
        <f>AK36/(AE36^2)</f>
        <v>0.14763383506622124</v>
      </c>
      <c r="AK39" s="2"/>
      <c r="AL39" s="2"/>
      <c r="AM39" s="29"/>
      <c r="AN39" s="30"/>
      <c r="AO39" s="31" t="s">
        <v>55</v>
      </c>
      <c r="AP39" s="32">
        <f>$AS$36/(($L$17^2)*(10^2/AP38^2)+$AT$36)</f>
        <v>20.723042644692761</v>
      </c>
      <c r="AQ39" s="29"/>
      <c r="AR39" s="30"/>
      <c r="AS39" s="31" t="s">
        <v>55</v>
      </c>
      <c r="AT39" s="32">
        <f>$AS$36/(($L$17^2)*(5^2/AP38^2)+$AT$36)</f>
        <v>82.635302344604398</v>
      </c>
    </row>
    <row r="40" spans="2:46" x14ac:dyDescent="0.3">
      <c r="B40" s="5"/>
      <c r="C40" s="5"/>
      <c r="D40" s="6">
        <v>2035</v>
      </c>
      <c r="E40" s="7">
        <v>50</v>
      </c>
      <c r="F40" s="7">
        <v>0.14000000000000001</v>
      </c>
      <c r="G40" s="7">
        <v>5.86</v>
      </c>
      <c r="H40" s="7">
        <v>5.91</v>
      </c>
      <c r="O40" s="2"/>
      <c r="P40" s="24" t="s">
        <v>51</v>
      </c>
      <c r="Q40" s="26">
        <f>S38/U36</f>
        <v>15.598305299948269</v>
      </c>
      <c r="R40" s="2"/>
      <c r="S40" s="2"/>
      <c r="T40" s="29"/>
      <c r="U40" s="30"/>
      <c r="V40" s="31" t="s">
        <v>57</v>
      </c>
      <c r="W40" s="33">
        <f>ROUNDDOWN(W39,0)</f>
        <v>27</v>
      </c>
      <c r="X40" s="29"/>
      <c r="Y40" s="30"/>
      <c r="Z40" s="31" t="s">
        <v>57</v>
      </c>
      <c r="AA40" s="33">
        <f>ROUNDDOWN(AA39,0)</f>
        <v>110</v>
      </c>
      <c r="AH40" s="2"/>
      <c r="AI40" s="24" t="s">
        <v>51</v>
      </c>
      <c r="AJ40" s="26">
        <f>AL38/AN36</f>
        <v>14.865621068327643</v>
      </c>
      <c r="AK40" s="2"/>
      <c r="AL40" s="2"/>
      <c r="AM40" s="29"/>
      <c r="AN40" s="30"/>
      <c r="AO40" s="31" t="s">
        <v>57</v>
      </c>
      <c r="AP40" s="33">
        <f>ROUNDDOWN(AP39,0)</f>
        <v>20</v>
      </c>
      <c r="AQ40" s="29"/>
      <c r="AR40" s="30"/>
      <c r="AS40" s="31" t="s">
        <v>57</v>
      </c>
      <c r="AT40" s="33">
        <f>ROUNDDOWN(AT39,0)</f>
        <v>82</v>
      </c>
    </row>
    <row r="41" spans="2:46" x14ac:dyDescent="0.3">
      <c r="B41" s="5"/>
      <c r="C41" s="5"/>
      <c r="D41" s="6">
        <v>3039</v>
      </c>
      <c r="E41" s="7">
        <v>6.25</v>
      </c>
      <c r="F41" s="7">
        <v>0.02</v>
      </c>
      <c r="G41" s="7">
        <v>5.7</v>
      </c>
      <c r="H41" s="7">
        <v>5.7</v>
      </c>
      <c r="O41" s="2"/>
      <c r="P41" s="24" t="s">
        <v>53</v>
      </c>
      <c r="Q41" s="25">
        <f>_xlfn.T.INV(0.975,15)</f>
        <v>2.1314495455597742</v>
      </c>
      <c r="R41" s="2"/>
      <c r="S41" s="2"/>
      <c r="T41" s="29"/>
      <c r="U41" s="29">
        <v>2</v>
      </c>
      <c r="V41" s="31" t="s">
        <v>56</v>
      </c>
      <c r="W41" s="32">
        <f>_xlfn.T.INV(0.975,W40-1)</f>
        <v>2.0555294386428731</v>
      </c>
      <c r="X41" s="29"/>
      <c r="Y41" s="29">
        <v>2</v>
      </c>
      <c r="Z41" s="31" t="s">
        <v>56</v>
      </c>
      <c r="AA41" s="32">
        <f>_xlfn.T.INV(0.975,AA40-1)</f>
        <v>1.9819674897364858</v>
      </c>
      <c r="AH41" s="2"/>
      <c r="AI41" s="24" t="s">
        <v>53</v>
      </c>
      <c r="AJ41" s="25">
        <f>_xlfn.T.INV(0.975,14)</f>
        <v>2.1447866879178035</v>
      </c>
      <c r="AK41" s="2"/>
      <c r="AL41" s="2"/>
      <c r="AM41" s="29"/>
      <c r="AN41" s="29">
        <v>2</v>
      </c>
      <c r="AO41" s="31" t="s">
        <v>56</v>
      </c>
      <c r="AP41" s="32">
        <f>_xlfn.T.INV(0.975,AP40-1)</f>
        <v>2.0930240544083087</v>
      </c>
      <c r="AQ41" s="29"/>
      <c r="AR41" s="29">
        <v>2</v>
      </c>
      <c r="AS41" s="31" t="s">
        <v>56</v>
      </c>
      <c r="AT41" s="32">
        <f>_xlfn.T.INV(0.975,AT40-1)</f>
        <v>1.9896863234569038</v>
      </c>
    </row>
    <row r="42" spans="2:46" x14ac:dyDescent="0.3">
      <c r="B42" s="5"/>
      <c r="C42" s="5"/>
      <c r="D42" s="6">
        <v>3063</v>
      </c>
      <c r="E42" s="7">
        <v>68.75</v>
      </c>
      <c r="F42" s="7">
        <v>0.24</v>
      </c>
      <c r="G42" s="7">
        <v>6.25</v>
      </c>
      <c r="H42" s="7">
        <v>6.64</v>
      </c>
      <c r="O42" s="2"/>
      <c r="P42" s="24" t="s">
        <v>48</v>
      </c>
      <c r="Q42" s="27">
        <f>Q41*(SQRT(Q39))</f>
        <v>0.70027852551549663</v>
      </c>
      <c r="R42" s="2"/>
      <c r="S42" s="2"/>
      <c r="T42" s="29"/>
      <c r="U42" s="29"/>
      <c r="V42" s="31" t="s">
        <v>55</v>
      </c>
      <c r="W42" s="32">
        <f>$Z$36/(($L$17^2)*(10^2/W41^2)+$AA$36)</f>
        <v>25.865750354029384</v>
      </c>
      <c r="X42" s="29"/>
      <c r="Y42" s="29"/>
      <c r="Z42" s="31" t="s">
        <v>55</v>
      </c>
      <c r="AA42" s="32">
        <f>$Z$36/(($L$17^2)*(5^2/AA41^2)+$AA$36)</f>
        <v>95.853136161099414</v>
      </c>
      <c r="AH42" s="2"/>
      <c r="AI42" s="24" t="s">
        <v>48</v>
      </c>
      <c r="AJ42" s="27">
        <f>AJ41*(SQRT(AJ39))</f>
        <v>0.82409457690045429</v>
      </c>
      <c r="AK42" s="2"/>
      <c r="AL42" s="2"/>
      <c r="AM42" s="29"/>
      <c r="AN42" s="29"/>
      <c r="AO42" s="31" t="s">
        <v>55</v>
      </c>
      <c r="AP42" s="32">
        <f>$AS$36/(($L$17^2)*(10^2/AP41^2)+$AT$36)</f>
        <v>19.735821470835049</v>
      </c>
      <c r="AQ42" s="29"/>
      <c r="AR42" s="29"/>
      <c r="AS42" s="31" t="s">
        <v>55</v>
      </c>
      <c r="AT42" s="32">
        <f>$AS$36/(($L$17^2)*(5^2/AT41^2)+$AT$36)</f>
        <v>71.156872554989036</v>
      </c>
    </row>
    <row r="43" spans="2:46" x14ac:dyDescent="0.3">
      <c r="B43" s="5"/>
      <c r="C43" s="5"/>
      <c r="D43" s="6">
        <v>4009</v>
      </c>
      <c r="E43" s="7">
        <v>56.25</v>
      </c>
      <c r="F43" s="7">
        <v>0.13</v>
      </c>
      <c r="G43" s="7">
        <v>5.47</v>
      </c>
      <c r="H43" s="7">
        <v>5.4</v>
      </c>
      <c r="O43" s="2"/>
      <c r="P43" s="24" t="s">
        <v>49</v>
      </c>
      <c r="Q43" s="28">
        <f>Q42/Q38</f>
        <v>0.10151453746947821</v>
      </c>
      <c r="R43" s="2"/>
      <c r="S43" s="2"/>
      <c r="T43" s="29"/>
      <c r="U43" s="29"/>
      <c r="V43" s="31" t="s">
        <v>57</v>
      </c>
      <c r="W43" s="33">
        <f>ROUNDDOWN(W42,0)</f>
        <v>25</v>
      </c>
      <c r="X43" s="29"/>
      <c r="Y43" s="29"/>
      <c r="Z43" s="31" t="s">
        <v>57</v>
      </c>
      <c r="AA43" s="33">
        <f>ROUNDDOWN(AA42,0)</f>
        <v>95</v>
      </c>
      <c r="AH43" s="2"/>
      <c r="AI43" s="24" t="s">
        <v>49</v>
      </c>
      <c r="AJ43" s="28">
        <f>AJ42/AJ38</f>
        <v>9.5967543473416697E-2</v>
      </c>
      <c r="AK43" s="2"/>
      <c r="AL43" s="2"/>
      <c r="AM43" s="29"/>
      <c r="AN43" s="29"/>
      <c r="AO43" s="31" t="s">
        <v>57</v>
      </c>
      <c r="AP43" s="33">
        <f>ROUNDDOWN(AP42,0)</f>
        <v>19</v>
      </c>
      <c r="AQ43" s="29"/>
      <c r="AR43" s="29"/>
      <c r="AS43" s="31" t="s">
        <v>57</v>
      </c>
      <c r="AT43" s="33">
        <f>ROUNDDOWN(AT42,0)</f>
        <v>71</v>
      </c>
    </row>
    <row r="44" spans="2:46" x14ac:dyDescent="0.3">
      <c r="B44" s="8"/>
      <c r="C44" s="8"/>
      <c r="D44" s="6">
        <v>4014</v>
      </c>
      <c r="E44" s="7">
        <v>18.75</v>
      </c>
      <c r="F44" s="7">
        <v>0.04</v>
      </c>
      <c r="G44" s="7">
        <v>5.33</v>
      </c>
      <c r="H44" s="7">
        <v>5.36</v>
      </c>
      <c r="O44" s="2"/>
      <c r="P44" s="2"/>
      <c r="Q44" s="2"/>
      <c r="R44" s="2"/>
      <c r="S44" s="2"/>
      <c r="T44" s="29"/>
      <c r="U44" s="29">
        <v>3</v>
      </c>
      <c r="V44" s="31" t="s">
        <v>56</v>
      </c>
      <c r="W44" s="32">
        <f>_xlfn.T.INV(0.975,W43-1)</f>
        <v>2.0638985616280254</v>
      </c>
      <c r="X44" s="29"/>
      <c r="Y44" s="29">
        <v>3</v>
      </c>
      <c r="Z44" s="31" t="s">
        <v>56</v>
      </c>
      <c r="AA44" s="32">
        <f>_xlfn.T.INV(0.975,AA43-1)</f>
        <v>1.9855234418666059</v>
      </c>
      <c r="AH44" s="2"/>
      <c r="AI44" s="2"/>
      <c r="AJ44" s="2"/>
      <c r="AK44" s="2"/>
      <c r="AL44" s="2"/>
      <c r="AM44" s="29"/>
      <c r="AN44" s="29">
        <v>3</v>
      </c>
      <c r="AO44" s="31" t="s">
        <v>56</v>
      </c>
      <c r="AP44" s="32">
        <f>_xlfn.T.INV(0.975,AP43-1)</f>
        <v>2.1009220402410378</v>
      </c>
      <c r="AQ44" s="29"/>
      <c r="AR44" s="29">
        <v>3</v>
      </c>
      <c r="AS44" s="31" t="s">
        <v>56</v>
      </c>
      <c r="AT44" s="32">
        <f>_xlfn.T.INV(0.975,AT43-1)</f>
        <v>1.9944371117711854</v>
      </c>
    </row>
    <row r="45" spans="2:46" x14ac:dyDescent="0.3">
      <c r="B45" s="8"/>
      <c r="C45" s="8"/>
      <c r="D45" s="6">
        <v>4016</v>
      </c>
      <c r="E45" s="7">
        <v>31.25</v>
      </c>
      <c r="F45" s="7">
        <v>0.08</v>
      </c>
      <c r="G45" s="7">
        <v>5.62</v>
      </c>
      <c r="H45" s="7">
        <v>5.69</v>
      </c>
      <c r="O45" s="2"/>
      <c r="P45" s="2"/>
      <c r="Q45" s="2"/>
      <c r="R45" s="2"/>
      <c r="S45" s="2"/>
      <c r="T45" s="29"/>
      <c r="U45" s="29"/>
      <c r="V45" s="31" t="s">
        <v>55</v>
      </c>
      <c r="W45" s="32">
        <f>$Z$36/(($L$17^2)*(10^2/W44^2)+$AA$36)</f>
        <v>26.076529641498208</v>
      </c>
      <c r="X45" s="29"/>
      <c r="Y45" s="29"/>
      <c r="Z45" s="31" t="s">
        <v>55</v>
      </c>
      <c r="AA45" s="32">
        <f>$Z$36/(($L$17^2)*(5^2/AA44^2)+$AA$36)</f>
        <v>96.195739206442397</v>
      </c>
      <c r="AH45" s="2"/>
      <c r="AI45" s="2"/>
      <c r="AJ45" s="2"/>
      <c r="AK45" s="2"/>
      <c r="AL45" s="2"/>
      <c r="AM45" s="29"/>
      <c r="AN45" s="29"/>
      <c r="AO45" s="31" t="s">
        <v>55</v>
      </c>
      <c r="AP45" s="32">
        <f>$AS$36/(($L$17^2)*(10^2/AP44^2)+$AT$36)</f>
        <v>19.884899606642882</v>
      </c>
      <c r="AQ45" s="29"/>
      <c r="AR45" s="29"/>
      <c r="AS45" s="31" t="s">
        <v>55</v>
      </c>
      <c r="AT45" s="32">
        <f>$AS$36/(($L$17^2)*(5^2/AT44^2)+$AT$36)</f>
        <v>71.495865603590829</v>
      </c>
    </row>
    <row r="46" spans="2:46" x14ac:dyDescent="0.3">
      <c r="B46" s="8"/>
      <c r="C46" s="8"/>
      <c r="D46" s="6">
        <v>4017</v>
      </c>
      <c r="E46" s="7">
        <v>37.5</v>
      </c>
      <c r="F46" s="7">
        <v>0.1</v>
      </c>
      <c r="G46" s="7">
        <v>5.61</v>
      </c>
      <c r="H46" s="7">
        <v>5.7</v>
      </c>
      <c r="O46" s="2"/>
      <c r="P46" s="2"/>
      <c r="Q46" s="2"/>
      <c r="R46" s="2"/>
      <c r="S46" s="2"/>
      <c r="T46" s="29"/>
      <c r="U46" s="29"/>
      <c r="V46" s="31" t="s">
        <v>57</v>
      </c>
      <c r="W46" s="34">
        <f>ROUNDDOWN(W45,0)</f>
        <v>26</v>
      </c>
      <c r="X46" s="29"/>
      <c r="Y46" s="29"/>
      <c r="Z46" s="31" t="s">
        <v>57</v>
      </c>
      <c r="AA46" s="34">
        <f>ROUNDDOWN(AA45,0)</f>
        <v>96</v>
      </c>
      <c r="AH46" s="2"/>
      <c r="AI46" s="2"/>
      <c r="AJ46" s="2"/>
      <c r="AK46" s="2"/>
      <c r="AL46" s="2"/>
      <c r="AM46" s="29"/>
      <c r="AN46" s="29"/>
      <c r="AO46" s="31" t="s">
        <v>57</v>
      </c>
      <c r="AP46" s="34">
        <f>ROUNDDOWN(AP45,0)</f>
        <v>19</v>
      </c>
      <c r="AQ46" s="29"/>
      <c r="AR46" s="29"/>
      <c r="AS46" s="31" t="s">
        <v>57</v>
      </c>
      <c r="AT46" s="34">
        <f>ROUNDDOWN(AT45,0)</f>
        <v>71</v>
      </c>
    </row>
    <row r="47" spans="2:46" x14ac:dyDescent="0.3">
      <c r="B47" s="8"/>
      <c r="C47" s="8"/>
      <c r="D47" s="6">
        <v>4018</v>
      </c>
      <c r="E47" s="7">
        <v>18.75</v>
      </c>
      <c r="F47" s="7">
        <v>0.04</v>
      </c>
      <c r="G47" s="7">
        <v>5.36</v>
      </c>
      <c r="H47" s="7">
        <v>5.37</v>
      </c>
    </row>
    <row r="48" spans="2:46" x14ac:dyDescent="0.3">
      <c r="B48" s="5" t="s">
        <v>19</v>
      </c>
      <c r="C48" s="5">
        <v>3200</v>
      </c>
      <c r="D48" s="8"/>
      <c r="E48" s="8"/>
      <c r="F48" s="8"/>
      <c r="G48" s="8"/>
      <c r="H48" s="8"/>
    </row>
  </sheetData>
  <mergeCells count="51">
    <mergeCell ref="A1:H1"/>
    <mergeCell ref="A2:H2"/>
    <mergeCell ref="A3:H3"/>
    <mergeCell ref="J30:AA30"/>
    <mergeCell ref="A4:H4"/>
    <mergeCell ref="A5:H5"/>
    <mergeCell ref="A6:H6"/>
    <mergeCell ref="A7:H7"/>
    <mergeCell ref="A8:H8"/>
    <mergeCell ref="H11:H12"/>
    <mergeCell ref="B11:B12"/>
    <mergeCell ref="C11:C12"/>
    <mergeCell ref="D11:D12"/>
    <mergeCell ref="E11:E12"/>
    <mergeCell ref="F11:F12"/>
    <mergeCell ref="G11:G12"/>
    <mergeCell ref="J11:AA11"/>
    <mergeCell ref="T19:T27"/>
    <mergeCell ref="U19:U21"/>
    <mergeCell ref="U22:U24"/>
    <mergeCell ref="U25:U27"/>
    <mergeCell ref="X19:X27"/>
    <mergeCell ref="Y19:Y21"/>
    <mergeCell ref="Y22:Y24"/>
    <mergeCell ref="Y25:Y27"/>
    <mergeCell ref="AC11:AT11"/>
    <mergeCell ref="AM19:AM27"/>
    <mergeCell ref="AN19:AN21"/>
    <mergeCell ref="AQ19:AQ27"/>
    <mergeCell ref="AR19:AR21"/>
    <mergeCell ref="AN22:AN24"/>
    <mergeCell ref="AR22:AR24"/>
    <mergeCell ref="AN25:AN27"/>
    <mergeCell ref="AR25:AR27"/>
    <mergeCell ref="T38:T46"/>
    <mergeCell ref="U38:U40"/>
    <mergeCell ref="X38:X46"/>
    <mergeCell ref="Y38:Y40"/>
    <mergeCell ref="U41:U43"/>
    <mergeCell ref="Y41:Y43"/>
    <mergeCell ref="U44:U46"/>
    <mergeCell ref="Y44:Y46"/>
    <mergeCell ref="AC30:AT30"/>
    <mergeCell ref="AM38:AM46"/>
    <mergeCell ref="AN38:AN40"/>
    <mergeCell ref="AQ38:AQ46"/>
    <mergeCell ref="AR38:AR40"/>
    <mergeCell ref="AN41:AN43"/>
    <mergeCell ref="AR41:AR43"/>
    <mergeCell ref="AN44:AN46"/>
    <mergeCell ref="AR44:AR4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Santos</dc:creator>
  <cp:lastModifiedBy>nathalia</cp:lastModifiedBy>
  <dcterms:created xsi:type="dcterms:W3CDTF">2021-11-18T19:24:02Z</dcterms:created>
  <dcterms:modified xsi:type="dcterms:W3CDTF">2021-11-19T19:30:07Z</dcterms:modified>
</cp:coreProperties>
</file>