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er\Desktop\"/>
    </mc:Choice>
  </mc:AlternateContent>
  <bookViews>
    <workbookView xWindow="0" yWindow="0" windowWidth="13650" windowHeight="9270" tabRatio="500" activeTab="2"/>
  </bookViews>
  <sheets>
    <sheet name="Amostra Estratificada" sheetId="1" r:id="rId1"/>
    <sheet name="Estratificação de Flor.Eucalipt" sheetId="2" r:id="rId2"/>
    <sheet name="Aplicação da Estratificação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R27" i="3" l="1"/>
  <c r="R26" i="3"/>
  <c r="Q27" i="3"/>
  <c r="P27" i="3"/>
  <c r="O27" i="3"/>
  <c r="O23" i="3"/>
  <c r="O17" i="3"/>
  <c r="O10" i="3"/>
  <c r="Q26" i="3" l="1"/>
  <c r="P26" i="3"/>
  <c r="O24" i="1" l="1"/>
  <c r="N24" i="1"/>
  <c r="L24" i="1"/>
  <c r="M24" i="1"/>
  <c r="L26" i="1"/>
  <c r="L25" i="1"/>
  <c r="L23" i="1"/>
  <c r="P33" i="1"/>
  <c r="S31" i="1"/>
  <c r="R31" i="1"/>
  <c r="Q31" i="1"/>
  <c r="P31" i="1"/>
  <c r="P29" i="1"/>
  <c r="S27" i="1"/>
  <c r="R27" i="1"/>
  <c r="Q27" i="1"/>
  <c r="P27" i="1"/>
  <c r="P25" i="1"/>
  <c r="S23" i="1"/>
  <c r="R23" i="1"/>
  <c r="Q23" i="1"/>
  <c r="P23" i="1"/>
  <c r="L21" i="1"/>
  <c r="L22" i="1"/>
  <c r="L20" i="1"/>
  <c r="L19" i="1" l="1"/>
  <c r="L18" i="1"/>
  <c r="L17" i="1"/>
  <c r="O17" i="1"/>
  <c r="N17" i="1"/>
  <c r="M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N12" i="1"/>
  <c r="M12" i="1"/>
  <c r="O12" i="1"/>
  <c r="L12" i="1"/>
  <c r="O26" i="2"/>
  <c r="Q26" i="2"/>
  <c r="O27" i="2"/>
  <c r="Q27" i="2"/>
  <c r="O28" i="2"/>
  <c r="Q28" i="2"/>
  <c r="O29" i="2"/>
  <c r="Q29" i="2"/>
  <c r="O30" i="2"/>
  <c r="Q30" i="2"/>
  <c r="I25" i="3" l="1"/>
  <c r="I19" i="3"/>
  <c r="I12" i="3"/>
  <c r="L24" i="3"/>
  <c r="L23" i="3"/>
  <c r="L22" i="3"/>
  <c r="L21" i="3"/>
  <c r="L20" i="3"/>
  <c r="L18" i="3"/>
  <c r="L17" i="3"/>
  <c r="L16" i="3"/>
  <c r="L15" i="3"/>
  <c r="L14" i="3"/>
  <c r="L13" i="3"/>
  <c r="L11" i="3"/>
  <c r="L10" i="3"/>
  <c r="L9" i="3"/>
  <c r="L8" i="3"/>
  <c r="J9" i="3"/>
  <c r="K9" i="3" s="1"/>
  <c r="J10" i="3"/>
  <c r="K10" i="3" s="1"/>
  <c r="J11" i="3"/>
  <c r="K11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20" i="3"/>
  <c r="K20" i="3" s="1"/>
  <c r="J21" i="3"/>
  <c r="K21" i="3" s="1"/>
  <c r="J22" i="3"/>
  <c r="K22" i="3" s="1"/>
  <c r="J23" i="3"/>
  <c r="K23" i="3" s="1"/>
  <c r="J24" i="3"/>
  <c r="K24" i="3" s="1"/>
  <c r="J8" i="3"/>
  <c r="K8" i="3" s="1"/>
  <c r="I33" i="2"/>
  <c r="I42" i="2"/>
  <c r="I41" i="2"/>
  <c r="I40" i="2"/>
  <c r="I39" i="2"/>
  <c r="I38" i="2"/>
  <c r="I36" i="2"/>
  <c r="I35" i="2"/>
  <c r="I34" i="2"/>
  <c r="I32" i="2"/>
  <c r="I31" i="2"/>
  <c r="I29" i="2"/>
  <c r="I28" i="2"/>
  <c r="I27" i="2"/>
  <c r="I26" i="2"/>
  <c r="G43" i="2"/>
  <c r="G37" i="2"/>
  <c r="G30" i="2"/>
  <c r="H47" i="1"/>
  <c r="G47" i="1"/>
  <c r="F47" i="1"/>
  <c r="E47" i="1"/>
  <c r="H46" i="1"/>
  <c r="G46" i="1"/>
  <c r="F46" i="1"/>
  <c r="E46" i="1"/>
  <c r="C46" i="1"/>
  <c r="K12" i="3" l="1"/>
  <c r="L19" i="3"/>
  <c r="M19" i="3" s="1"/>
  <c r="I26" i="3"/>
  <c r="K19" i="3"/>
  <c r="K25" i="3"/>
  <c r="O12" i="3"/>
  <c r="L12" i="3"/>
  <c r="O25" i="3"/>
  <c r="O19" i="3"/>
  <c r="L25" i="3"/>
  <c r="M25" i="3" s="1"/>
  <c r="I30" i="2"/>
  <c r="I37" i="2"/>
  <c r="I43" i="2"/>
  <c r="K26" i="3" l="1"/>
  <c r="O26" i="3"/>
  <c r="L26" i="3"/>
  <c r="N26" i="3" s="1"/>
  <c r="M12" i="3"/>
  <c r="M26" i="3" s="1"/>
</calcChain>
</file>

<file path=xl/sharedStrings.xml><?xml version="1.0" encoding="utf-8"?>
<sst xmlns="http://schemas.openxmlformats.org/spreadsheetml/2006/main" count="273" uniqueCount="142">
  <si>
    <t>I. Amostra Estratificada</t>
  </si>
  <si>
    <t>II. Estratificação de Floresta de Eucalipto</t>
  </si>
  <si>
    <t>III. Aplicação da Estratificação</t>
  </si>
  <si>
    <t>A tabela abaixo apresenta os dados de um levantamento do palmiteiro juçara (Euterpe edulis – Arecaceae) na região do Vale do Ribeira, Estado de São Paulo.</t>
  </si>
  <si>
    <t>A tabela abaixo apresenta os dados de “cadastro” dos talhões de uma floresta plantada de eucalipto.</t>
  </si>
  <si>
    <t>Com base na estratificação realizada no exercício anterior, encontre o Intervalo de confiança para produção média da floresta, segundo os dados de parcela apresentados abaixo (parcelas de 540m2)</t>
  </si>
  <si>
    <t>O exemplo é composto de 34 arvoredos (parcelas de 1600m2) locados no campo segundo a amostragem estratificada.</t>
  </si>
  <si>
    <t>Com base nas informações apresentadas, defina os ESTRATOS  para se realizar uma amostragem estratificada, determinando os talhões quem compõem cada estrato bem como as suas áreas totais (ha).</t>
  </si>
  <si>
    <t>Assuma que a estatística t para cálculo do intervalo de confiança é igual a 2,00.</t>
  </si>
  <si>
    <t>Em cada um dos quatro estratos, realizou-se uma amostragem aleatória simples.</t>
  </si>
  <si>
    <t>A área basal e os DAP médio e médio quadrático se referem apenas às plantas do palmiteiro juçara.</t>
  </si>
  <si>
    <t>Estrato</t>
  </si>
  <si>
    <t>Parcela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</si>
  <si>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</si>
  <si>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</si>
  <si>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</si>
  <si>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</si>
  <si>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</si>
  <si>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</si>
  <si>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</si>
  <si>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</si>
  <si>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Produção</t>
  </si>
  <si>
    <t>330X180</t>
  </si>
  <si>
    <t>E. grandis</t>
  </si>
  <si>
    <t>Reforma</t>
  </si>
  <si>
    <t>clonal</t>
  </si>
  <si>
    <t>(m3/ha)</t>
  </si>
  <si>
    <t>E. grandis x E. urophylla</t>
  </si>
  <si>
    <t>I</t>
  </si>
  <si>
    <t>300x200</t>
  </si>
  <si>
    <t>Condução</t>
  </si>
  <si>
    <t>300x180</t>
  </si>
  <si>
    <t>seminal</t>
  </si>
  <si>
    <t>330x220</t>
  </si>
  <si>
    <t>II</t>
  </si>
  <si>
    <t>III</t>
  </si>
  <si>
    <t>IV</t>
  </si>
  <si>
    <t>Total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</si>
  <si>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</si>
  <si>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</si>
  <si>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</si>
  <si>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</si>
  <si>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n</t>
  </si>
  <si>
    <t>Estrato I</t>
  </si>
  <si>
    <t>Estrato II</t>
  </si>
  <si>
    <t>Estrato III</t>
  </si>
  <si>
    <t>Estrato IV</t>
  </si>
  <si>
    <r>
      <t xml:space="preserve">Tamanho do estrato </t>
    </r>
    <r>
      <rPr>
        <b/>
        <sz val="10"/>
        <rFont val="Arial"/>
        <family val="2"/>
      </rPr>
      <t>(Nh)</t>
    </r>
  </si>
  <si>
    <r>
      <t xml:space="preserve">Tamanho da amostra no estrato </t>
    </r>
    <r>
      <rPr>
        <b/>
        <sz val="10"/>
        <rFont val="Arial"/>
        <family val="2"/>
      </rPr>
      <t>(nh)</t>
    </r>
  </si>
  <si>
    <r>
      <t xml:space="preserve">Calcular) índice do Estrato </t>
    </r>
    <r>
      <rPr>
        <b/>
        <sz val="10"/>
        <rFont val="Arial"/>
        <family val="2"/>
      </rPr>
      <t>(ah)</t>
    </r>
  </si>
  <si>
    <r>
      <t xml:space="preserve">Estimar) Variância do estrato </t>
    </r>
    <r>
      <rPr>
        <b/>
        <sz val="10"/>
        <rFont val="Arial"/>
        <family val="2"/>
        <charset val="1"/>
      </rPr>
      <t>(</t>
    </r>
    <r>
      <rPr>
        <b/>
        <sz val="10"/>
        <rFont val="Calibri"/>
        <family val="2"/>
      </rPr>
      <t>α²h)</t>
    </r>
  </si>
  <si>
    <r>
      <t xml:space="preserve">Estimar) O total do estrato </t>
    </r>
    <r>
      <rPr>
        <b/>
        <sz val="10"/>
        <rFont val="Arial"/>
        <family val="2"/>
        <charset val="1"/>
      </rPr>
      <t>(</t>
    </r>
    <r>
      <rPr>
        <b/>
        <sz val="10"/>
        <rFont val="Calibri"/>
        <family val="2"/>
      </rPr>
      <t>τ</t>
    </r>
    <r>
      <rPr>
        <b/>
        <sz val="10"/>
        <rFont val="Arial"/>
        <family val="2"/>
        <charset val="1"/>
      </rPr>
      <t>h)</t>
    </r>
  </si>
  <si>
    <r>
      <t xml:space="preserve">Estimar) A variância do total do estrato </t>
    </r>
    <r>
      <rPr>
        <b/>
        <sz val="10"/>
        <rFont val="Arial"/>
        <family val="2"/>
      </rPr>
      <t>(VAR(τh))</t>
    </r>
  </si>
  <si>
    <r>
      <t xml:space="preserve">Total da Floresta </t>
    </r>
    <r>
      <rPr>
        <b/>
        <sz val="10"/>
        <rFont val="Arial"/>
        <family val="2"/>
        <charset val="1"/>
      </rPr>
      <t>[</t>
    </r>
    <r>
      <rPr>
        <b/>
        <sz val="10"/>
        <rFont val="Calibri"/>
        <family val="2"/>
      </rPr>
      <t>τ = ∑τh]</t>
    </r>
  </si>
  <si>
    <r>
      <t xml:space="preserve">Variância do total da Floresta </t>
    </r>
    <r>
      <rPr>
        <b/>
        <sz val="10"/>
        <rFont val="Arial"/>
        <family val="2"/>
        <charset val="1"/>
      </rPr>
      <t>[Var(</t>
    </r>
    <r>
      <rPr>
        <b/>
        <sz val="10"/>
        <rFont val="Calibri"/>
        <family val="2"/>
      </rPr>
      <t>τ</t>
    </r>
    <r>
      <rPr>
        <b/>
        <sz val="10"/>
        <rFont val="Arial"/>
        <family val="2"/>
        <charset val="1"/>
      </rPr>
      <t xml:space="preserve">) = </t>
    </r>
    <r>
      <rPr>
        <b/>
        <sz val="10"/>
        <rFont val="Calibri"/>
        <family val="2"/>
      </rPr>
      <t>∑</t>
    </r>
    <r>
      <rPr>
        <b/>
        <sz val="10"/>
        <rFont val="Arial"/>
        <family val="2"/>
        <charset val="1"/>
      </rPr>
      <t>var(</t>
    </r>
    <r>
      <rPr>
        <b/>
        <sz val="10"/>
        <rFont val="Calibri"/>
        <family val="2"/>
      </rPr>
      <t>τ</t>
    </r>
    <r>
      <rPr>
        <b/>
        <sz val="10"/>
        <rFont val="Arial"/>
        <family val="2"/>
        <charset val="1"/>
      </rPr>
      <t>h)]</t>
    </r>
  </si>
  <si>
    <r>
      <t xml:space="preserve">Média da Floresta </t>
    </r>
    <r>
      <rPr>
        <b/>
        <sz val="10"/>
        <rFont val="Arial"/>
        <family val="2"/>
        <charset val="1"/>
      </rPr>
      <t>[</t>
    </r>
    <r>
      <rPr>
        <b/>
        <sz val="10"/>
        <rFont val="Calibri"/>
        <family val="2"/>
      </rPr>
      <t xml:space="preserve">û </t>
    </r>
    <r>
      <rPr>
        <b/>
        <sz val="10"/>
        <rFont val="Arial"/>
        <family val="2"/>
        <charset val="1"/>
      </rPr>
      <t xml:space="preserve">= </t>
    </r>
    <r>
      <rPr>
        <b/>
        <sz val="10"/>
        <rFont val="Calibri"/>
        <family val="2"/>
      </rPr>
      <t>τ</t>
    </r>
    <r>
      <rPr>
        <b/>
        <sz val="10"/>
        <rFont val="Arial"/>
        <family val="2"/>
        <charset val="1"/>
      </rPr>
      <t>/N]</t>
    </r>
  </si>
  <si>
    <r>
      <t xml:space="preserve">Variância da média da Floresta </t>
    </r>
    <r>
      <rPr>
        <b/>
        <sz val="10"/>
        <rFont val="Arial"/>
        <family val="2"/>
        <charset val="1"/>
      </rPr>
      <t>[Var(</t>
    </r>
    <r>
      <rPr>
        <b/>
        <sz val="10"/>
        <rFont val="Calibri"/>
        <family val="2"/>
      </rPr>
      <t>û</t>
    </r>
    <r>
      <rPr>
        <b/>
        <sz val="10"/>
        <rFont val="Arial"/>
        <family val="2"/>
        <charset val="1"/>
      </rPr>
      <t>) = Var(</t>
    </r>
    <r>
      <rPr>
        <b/>
        <sz val="10"/>
        <rFont val="Calibri"/>
        <family val="2"/>
      </rPr>
      <t>τ</t>
    </r>
    <r>
      <rPr>
        <b/>
        <sz val="10"/>
        <rFont val="Arial"/>
        <family val="2"/>
        <charset val="1"/>
      </rPr>
      <t>)/N²]</t>
    </r>
  </si>
  <si>
    <r>
      <t xml:space="preserve">Tamanho efetivo da amostra na Floresta </t>
    </r>
    <r>
      <rPr>
        <b/>
        <sz val="10"/>
        <rFont val="Arial"/>
        <family val="2"/>
      </rPr>
      <t>(ne)</t>
    </r>
  </si>
  <si>
    <r>
      <t xml:space="preserve">Índice do estrato </t>
    </r>
    <r>
      <rPr>
        <b/>
        <sz val="10"/>
        <rFont val="Arial"/>
        <family val="2"/>
      </rPr>
      <t>[ ah = Nh.(Nh-nh)/nh ]</t>
    </r>
  </si>
  <si>
    <t>Estimadores para Floresta</t>
  </si>
  <si>
    <t>Para a média c/ intervalo de confiança (95%)</t>
  </si>
  <si>
    <t>Tamanho de amostra para Erro amostral</t>
  </si>
  <si>
    <r>
      <t xml:space="preserve">(n*) </t>
    </r>
    <r>
      <rPr>
        <sz val="10"/>
        <rFont val="Arial"/>
        <family val="2"/>
      </rPr>
      <t>com 10%</t>
    </r>
  </si>
  <si>
    <r>
      <t xml:space="preserve">(n*) </t>
    </r>
    <r>
      <rPr>
        <sz val="10"/>
        <rFont val="Arial"/>
        <family val="2"/>
      </rPr>
      <t>com 5%</t>
    </r>
  </si>
  <si>
    <r>
      <t>(V%h)</t>
    </r>
    <r>
      <rPr>
        <sz val="10"/>
        <rFont val="Arial"/>
        <family val="2"/>
      </rPr>
      <t xml:space="preserve"> com 10%</t>
    </r>
  </si>
  <si>
    <r>
      <t xml:space="preserve">(V%h) </t>
    </r>
    <r>
      <rPr>
        <sz val="10"/>
        <rFont val="Arial"/>
        <family val="2"/>
      </rPr>
      <t>com 5%</t>
    </r>
  </si>
  <si>
    <t>Alocação da amostra nos estratos</t>
  </si>
  <si>
    <r>
      <t xml:space="preserve">Alocação proporcional </t>
    </r>
    <r>
      <rPr>
        <b/>
        <sz val="10"/>
        <rFont val="Arial"/>
        <family val="2"/>
      </rPr>
      <t>[Wh = (Nh/N) = (Nh/∑Ni) ]</t>
    </r>
  </si>
  <si>
    <r>
      <t>Alocação de neyman</t>
    </r>
    <r>
      <rPr>
        <b/>
        <sz val="10"/>
        <rFont val="Arial"/>
        <family val="2"/>
      </rPr>
      <t xml:space="preserve"> [Wh = (Nh.α²h)/(N.α²i) ]</t>
    </r>
  </si>
  <si>
    <r>
      <t xml:space="preserve">Alocação Ótima </t>
    </r>
    <r>
      <rPr>
        <b/>
        <sz val="10"/>
        <rFont val="Arial"/>
        <family val="2"/>
      </rPr>
      <t>[Wh = [(Nh.α²h)/Raíz(Ch)]/[(N.α²i)/Raíz(Ci)]]</t>
    </r>
  </si>
  <si>
    <r>
      <t xml:space="preserve">Média populacional </t>
    </r>
    <r>
      <rPr>
        <b/>
        <sz val="10"/>
        <rFont val="Arial"/>
        <family val="2"/>
      </rPr>
      <t>(û)</t>
    </r>
  </si>
  <si>
    <t>Área do Estrato (ha)</t>
  </si>
  <si>
    <t>Número de Palmiteiros (1/ha)</t>
  </si>
  <si>
    <t>Área Basal (m²/ha)</t>
  </si>
  <si>
    <t>DAP médio (cm)</t>
  </si>
  <si>
    <t>DAP médio quadrático (cm)</t>
  </si>
  <si>
    <t xml:space="preserve"> </t>
  </si>
  <si>
    <t>Estimadores por estrato</t>
  </si>
  <si>
    <t>Estimadores para a Floresta</t>
  </si>
  <si>
    <t>E_01</t>
  </si>
  <si>
    <t>E_02</t>
  </si>
  <si>
    <t>E_03</t>
  </si>
  <si>
    <t>Idade (anos)</t>
  </si>
  <si>
    <t>Clonal</t>
  </si>
  <si>
    <t>Total:</t>
  </si>
  <si>
    <t>4 á 7</t>
  </si>
  <si>
    <t>Semiclonal</t>
  </si>
  <si>
    <t>Número de invidíduos por (ha)</t>
  </si>
  <si>
    <t>1 á 4</t>
  </si>
  <si>
    <t xml:space="preserve">1 á 4 </t>
  </si>
  <si>
    <t>330x180 (3,3x1,8)</t>
  </si>
  <si>
    <t>330x220 (3,3x2,2)</t>
  </si>
  <si>
    <t>300x200 (3x2)</t>
  </si>
  <si>
    <t>300x180 (3x1,8)</t>
  </si>
  <si>
    <t>(3x1,8)</t>
  </si>
  <si>
    <t>(3,3x2,2)</t>
  </si>
  <si>
    <t>(3x2)</t>
  </si>
  <si>
    <t>(3,3x1,8)</t>
  </si>
  <si>
    <t>Dens. m²</t>
  </si>
  <si>
    <t>Espça.</t>
  </si>
  <si>
    <t>Ha = m²</t>
  </si>
  <si>
    <t>Ha</t>
  </si>
  <si>
    <t>N indi</t>
  </si>
  <si>
    <t>Parcelas</t>
  </si>
  <si>
    <t>(312;328)</t>
  </si>
  <si>
    <t>(136;141;149;151;305;306)</t>
  </si>
  <si>
    <t>(156;160;307;308)</t>
  </si>
  <si>
    <t>(163;167)</t>
  </si>
  <si>
    <t>(320;325;327)</t>
  </si>
  <si>
    <t>(329;333;336;337)</t>
  </si>
  <si>
    <t>(331;332;334;335;339)</t>
  </si>
  <si>
    <t>(338;340;342;343;347;348)</t>
  </si>
  <si>
    <t>(341;344;345;346;349;351;352)</t>
  </si>
  <si>
    <t>(103;188;309;380)</t>
  </si>
  <si>
    <t>(310;313;314;315)</t>
  </si>
  <si>
    <t>(170;176;178;181)</t>
  </si>
  <si>
    <t>(106;113;138;145;209;311)</t>
  </si>
  <si>
    <t>(112;115;118;121;123;125;231;300;301;302)</t>
  </si>
  <si>
    <t>(.322)</t>
  </si>
  <si>
    <t>n° Parcelas</t>
  </si>
  <si>
    <t>Parcelas(m²)</t>
  </si>
  <si>
    <t>Parcelas (ha)</t>
  </si>
  <si>
    <t>Produção (m³/ha)</t>
  </si>
  <si>
    <t>Produção média por parcela (m³)</t>
  </si>
  <si>
    <t>Estatística t-student = 2,00</t>
  </si>
  <si>
    <t>Área do estrato (ha)</t>
  </si>
  <si>
    <r>
      <t xml:space="preserve">Tamanho da Floresta </t>
    </r>
    <r>
      <rPr>
        <b/>
        <sz val="10"/>
        <rFont val="Arial"/>
        <family val="2"/>
        <charset val="1"/>
      </rPr>
      <t xml:space="preserve">[N = </t>
    </r>
    <r>
      <rPr>
        <b/>
        <sz val="10"/>
        <rFont val="Calibri"/>
        <family val="2"/>
      </rPr>
      <t>∑N</t>
    </r>
    <r>
      <rPr>
        <b/>
        <sz val="10"/>
        <rFont val="Arial"/>
        <family val="2"/>
        <charset val="1"/>
      </rPr>
      <t>h]</t>
    </r>
  </si>
  <si>
    <t>(ah*a^2h)^2</t>
  </si>
  <si>
    <t>(ah*a^2h)</t>
  </si>
  <si>
    <t>(∑ah*a^2h)^2</t>
  </si>
  <si>
    <t>∑(ah*a^2h)^2</t>
  </si>
  <si>
    <t>∑ne</t>
  </si>
  <si>
    <t>ne</t>
  </si>
  <si>
    <t>Estatística_t</t>
  </si>
  <si>
    <t>Intervalo de confiança (95%) em porcentagem (%)</t>
  </si>
  <si>
    <t>Total da Floresta:</t>
  </si>
  <si>
    <t>Variância (s^2)</t>
  </si>
  <si>
    <t>Variância da média da floresta</t>
  </si>
  <si>
    <t>IC_%</t>
  </si>
  <si>
    <t>Média da floresta (m³/parcela)</t>
  </si>
  <si>
    <t>Var.A</t>
  </si>
  <si>
    <t>Var.P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</si>
</sst>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2" fontId="0" fillId="0" borderId="9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0" fillId="0" borderId="4" xfId="0" applyBorder="1"/>
    <xf numFmtId="2" fontId="0" fillId="0" borderId="0" xfId="0" applyNumberForma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Fill="1" applyBorder="1"/>
    <xf numFmtId="0" fontId="0" fillId="0" borderId="13" xfId="0" applyFill="1" applyBorder="1"/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8" xfId="0" applyFill="1" applyBorder="1"/>
    <xf numFmtId="0" fontId="0" fillId="0" borderId="5" xfId="0" applyFill="1" applyBorder="1"/>
    <xf numFmtId="0" fontId="0" fillId="0" borderId="3" xfId="0" applyFill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164" fontId="7" fillId="0" borderId="6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2" xfId="0" applyFont="1" applyBorder="1"/>
    <xf numFmtId="0" fontId="0" fillId="0" borderId="2" xfId="0" applyBorder="1"/>
    <xf numFmtId="2" fontId="10" fillId="0" borderId="2" xfId="0" applyNumberFormat="1" applyFont="1" applyBorder="1" applyAlignment="1">
      <alignment horizontal="center"/>
    </xf>
    <xf numFmtId="0" fontId="0" fillId="0" borderId="14" xfId="0" applyBorder="1"/>
    <xf numFmtId="0" fontId="0" fillId="0" borderId="2" xfId="0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/>
    <xf numFmtId="1" fontId="0" fillId="0" borderId="6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6" fillId="0" borderId="5" xfId="0" applyFont="1" applyBorder="1"/>
    <xf numFmtId="1" fontId="0" fillId="0" borderId="7" xfId="0" applyNumberForma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164" fontId="9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64" fontId="9" fillId="0" borderId="2" xfId="0" applyNumberFormat="1" applyFont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/>
    <xf numFmtId="0" fontId="0" fillId="0" borderId="7" xfId="0" applyFill="1" applyBorder="1"/>
    <xf numFmtId="0" fontId="0" fillId="0" borderId="6" xfId="0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Border="1" applyAlignment="1"/>
    <xf numFmtId="2" fontId="0" fillId="0" borderId="9" xfId="0" applyNumberFormat="1" applyBorder="1" applyAlignment="1"/>
    <xf numFmtId="0" fontId="0" fillId="0" borderId="8" xfId="0" applyNumberFormat="1" applyBorder="1" applyAlignment="1"/>
    <xf numFmtId="0" fontId="0" fillId="2" borderId="1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0" fillId="2" borderId="2" xfId="0" applyFill="1" applyBorder="1"/>
    <xf numFmtId="164" fontId="9" fillId="2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164" fontId="9" fillId="2" borderId="2" xfId="0" applyNumberFormat="1" applyFont="1" applyFill="1" applyBorder="1" applyAlignment="1">
      <alignment horizontal="center"/>
    </xf>
    <xf numFmtId="2" fontId="9" fillId="2" borderId="14" xfId="0" applyNumberFormat="1" applyFont="1" applyFill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164" fontId="9" fillId="0" borderId="1" xfId="0" applyNumberFormat="1" applyFont="1" applyBorder="1"/>
    <xf numFmtId="2" fontId="9" fillId="2" borderId="2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3" borderId="0" xfId="0" applyFont="1" applyFill="1" applyAlignment="1"/>
    <xf numFmtId="0" fontId="4" fillId="3" borderId="0" xfId="0" applyFont="1" applyFill="1"/>
    <xf numFmtId="0" fontId="0" fillId="3" borderId="15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2" fontId="0" fillId="3" borderId="14" xfId="0" applyNumberForma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11" zoomScaleNormal="100" workbookViewId="0">
      <selection activeCell="L37" sqref="L37"/>
    </sheetView>
  </sheetViews>
  <sheetFormatPr defaultColWidth="11.5703125" defaultRowHeight="12.75" x14ac:dyDescent="0.2"/>
  <cols>
    <col min="1" max="1" width="3.140625" customWidth="1"/>
    <col min="2" max="2" width="8.42578125" customWidth="1"/>
    <col min="3" max="3" width="11.7109375" customWidth="1"/>
    <col min="4" max="4" width="21" customWidth="1"/>
    <col min="5" max="5" width="16.85546875" customWidth="1"/>
    <col min="6" max="6" width="17" customWidth="1"/>
    <col min="7" max="7" width="16.42578125" customWidth="1"/>
    <col min="8" max="8" width="13.7109375" customWidth="1"/>
    <col min="9" max="9" width="3.28515625" customWidth="1"/>
    <col min="10" max="10" width="14" customWidth="1"/>
    <col min="11" max="11" width="52.85546875" customWidth="1"/>
    <col min="12" max="12" width="10.140625" customWidth="1"/>
    <col min="14" max="14" width="11" customWidth="1"/>
    <col min="15" max="15" width="11.7109375" customWidth="1"/>
    <col min="16" max="16" width="8.85546875" customWidth="1"/>
    <col min="17" max="17" width="8.5703125" customWidth="1"/>
    <col min="18" max="18" width="9.140625" customWidth="1"/>
    <col min="19" max="19" width="12" bestFit="1" customWidth="1"/>
  </cols>
  <sheetData>
    <row r="1" spans="1:15" ht="18.75" x14ac:dyDescent="0.2">
      <c r="B1" s="1" t="s">
        <v>0</v>
      </c>
    </row>
    <row r="2" spans="1:15" ht="15.75" x14ac:dyDescent="0.2">
      <c r="B2" s="2"/>
    </row>
    <row r="3" spans="1:15" ht="23.85" customHeight="1" x14ac:dyDescent="0.2">
      <c r="B3" s="130" t="s">
        <v>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23"/>
    </row>
    <row r="4" spans="1:15" ht="25.35" customHeight="1" x14ac:dyDescent="0.2">
      <c r="B4" s="130" t="s">
        <v>6</v>
      </c>
      <c r="C4" s="130"/>
      <c r="D4" s="130"/>
      <c r="E4" s="130"/>
      <c r="F4" s="130"/>
      <c r="G4" s="130"/>
      <c r="H4" s="130"/>
      <c r="I4" s="3"/>
      <c r="J4" s="23"/>
      <c r="K4" s="23"/>
      <c r="L4" s="23"/>
      <c r="M4" s="23"/>
      <c r="N4" s="23"/>
    </row>
    <row r="5" spans="1:15" ht="12.75" customHeight="1" x14ac:dyDescent="0.2">
      <c r="B5" s="130" t="s">
        <v>9</v>
      </c>
      <c r="C5" s="130"/>
      <c r="D5" s="130"/>
      <c r="E5" s="130"/>
      <c r="F5" s="130"/>
      <c r="G5" s="130"/>
      <c r="H5" s="130"/>
      <c r="I5" s="3"/>
    </row>
    <row r="6" spans="1:15" ht="12.75" customHeight="1" x14ac:dyDescent="0.2">
      <c r="B6" s="130" t="s">
        <v>10</v>
      </c>
      <c r="C6" s="130"/>
      <c r="D6" s="130"/>
      <c r="E6" s="130"/>
      <c r="F6" s="130"/>
      <c r="G6" s="130"/>
      <c r="H6" s="130"/>
      <c r="I6" s="3"/>
    </row>
    <row r="8" spans="1:15" x14ac:dyDescent="0.2">
      <c r="A8" s="153" t="s">
        <v>42</v>
      </c>
      <c r="B8" s="135" t="s">
        <v>11</v>
      </c>
      <c r="C8" s="138" t="s">
        <v>71</v>
      </c>
      <c r="D8" s="141" t="s">
        <v>12</v>
      </c>
      <c r="E8" s="138" t="s">
        <v>72</v>
      </c>
      <c r="F8" s="138" t="s">
        <v>73</v>
      </c>
      <c r="G8" s="138" t="s">
        <v>74</v>
      </c>
      <c r="H8" s="156" t="s">
        <v>75</v>
      </c>
      <c r="I8" s="17"/>
      <c r="K8" s="22"/>
      <c r="L8" s="131" t="s">
        <v>43</v>
      </c>
      <c r="M8" s="131" t="s">
        <v>44</v>
      </c>
      <c r="N8" s="131" t="s">
        <v>45</v>
      </c>
      <c r="O8" s="131" t="s">
        <v>46</v>
      </c>
    </row>
    <row r="9" spans="1:15" x14ac:dyDescent="0.2">
      <c r="A9" s="154"/>
      <c r="B9" s="136"/>
      <c r="C9" s="139"/>
      <c r="D9" s="142"/>
      <c r="E9" s="139"/>
      <c r="F9" s="139"/>
      <c r="G9" s="139"/>
      <c r="H9" s="157"/>
      <c r="I9" s="17"/>
      <c r="K9" s="22"/>
      <c r="L9" s="131"/>
      <c r="M9" s="131"/>
      <c r="N9" s="131"/>
      <c r="O9" s="131"/>
    </row>
    <row r="10" spans="1:15" x14ac:dyDescent="0.2">
      <c r="A10" s="154"/>
      <c r="B10" s="136"/>
      <c r="C10" s="139"/>
      <c r="D10" s="142"/>
      <c r="E10" s="139"/>
      <c r="F10" s="139"/>
      <c r="G10" s="139"/>
      <c r="H10" s="157"/>
      <c r="I10" s="17"/>
      <c r="K10" s="22"/>
      <c r="L10" s="131"/>
      <c r="M10" s="131"/>
      <c r="N10" s="131"/>
      <c r="O10" s="131"/>
    </row>
    <row r="11" spans="1:15" x14ac:dyDescent="0.2">
      <c r="A11" s="155"/>
      <c r="B11" s="137"/>
      <c r="C11" s="140"/>
      <c r="D11" s="143"/>
      <c r="E11" s="140"/>
      <c r="F11" s="140"/>
      <c r="G11" s="140"/>
      <c r="H11" s="158"/>
      <c r="I11" s="17"/>
      <c r="J11" s="132" t="s">
        <v>77</v>
      </c>
      <c r="K11" s="34" t="s">
        <v>125</v>
      </c>
      <c r="L11" s="106">
        <v>1333.9</v>
      </c>
      <c r="M11" s="106">
        <v>559.93600000000004</v>
      </c>
      <c r="N11" s="106">
        <v>552.92899999999997</v>
      </c>
      <c r="O11" s="106">
        <v>753.23500000000001</v>
      </c>
    </row>
    <row r="12" spans="1:15" x14ac:dyDescent="0.2">
      <c r="A12" s="32">
        <v>1</v>
      </c>
      <c r="B12" s="7" t="s">
        <v>28</v>
      </c>
      <c r="C12" s="7">
        <v>1333.9</v>
      </c>
      <c r="D12" s="8">
        <v>1004</v>
      </c>
      <c r="E12" s="9">
        <v>631.25</v>
      </c>
      <c r="F12" s="9">
        <v>8.24</v>
      </c>
      <c r="G12" s="9">
        <v>5.91</v>
      </c>
      <c r="H12" s="24">
        <v>12.89</v>
      </c>
      <c r="I12" s="19"/>
      <c r="J12" s="133"/>
      <c r="K12" s="21" t="s">
        <v>47</v>
      </c>
      <c r="L12" s="49">
        <f>(L11*10000)/1600</f>
        <v>8336.875</v>
      </c>
      <c r="M12" s="49">
        <f>(M11*10000)/1600</f>
        <v>3499.6</v>
      </c>
      <c r="N12" s="49">
        <f>(N11*10000)/1600</f>
        <v>3455.8062500000001</v>
      </c>
      <c r="O12" s="49">
        <f t="shared" ref="O12" si="0">(O11*10000)/1600</f>
        <v>4707.71875</v>
      </c>
    </row>
    <row r="13" spans="1:15" x14ac:dyDescent="0.2">
      <c r="A13" s="26">
        <v>2</v>
      </c>
      <c r="B13" s="7"/>
      <c r="C13" s="7"/>
      <c r="D13" s="8">
        <v>1006</v>
      </c>
      <c r="E13" s="9">
        <v>1025</v>
      </c>
      <c r="F13" s="9">
        <v>10.32</v>
      </c>
      <c r="G13" s="9">
        <v>9.59</v>
      </c>
      <c r="H13" s="24">
        <v>11.32</v>
      </c>
      <c r="I13" s="19"/>
      <c r="J13" s="133"/>
      <c r="K13" s="21" t="s">
        <v>48</v>
      </c>
      <c r="L13" s="52">
        <f>COUNT(D12:D22)</f>
        <v>11</v>
      </c>
      <c r="M13" s="52">
        <f>COUNT(D23:D29)</f>
        <v>7</v>
      </c>
      <c r="N13" s="52">
        <f>COUNT(D30:D35)</f>
        <v>6</v>
      </c>
      <c r="O13" s="24">
        <f>COUNT(D36:D45)</f>
        <v>10</v>
      </c>
    </row>
    <row r="14" spans="1:15" x14ac:dyDescent="0.2">
      <c r="A14" s="26">
        <v>3</v>
      </c>
      <c r="B14" s="7"/>
      <c r="C14" s="7"/>
      <c r="D14" s="8">
        <v>1007</v>
      </c>
      <c r="E14" s="9">
        <v>1006.25</v>
      </c>
      <c r="F14" s="9">
        <v>9.4700000000000006</v>
      </c>
      <c r="G14" s="9">
        <v>10.49</v>
      </c>
      <c r="H14" s="24">
        <v>10.95</v>
      </c>
      <c r="I14" s="19"/>
      <c r="J14" s="133"/>
      <c r="K14" s="21" t="s">
        <v>49</v>
      </c>
      <c r="L14" s="107">
        <f>L12*(L12-L13)/L13</f>
        <v>6310161.7400568184</v>
      </c>
      <c r="M14" s="107">
        <f>M12*(M12-M13)/M13</f>
        <v>1746100.4228571428</v>
      </c>
      <c r="N14" s="107">
        <f>N12*(N12-N13)/N13</f>
        <v>1986977.0000065106</v>
      </c>
      <c r="O14" s="107">
        <f>O12*(O12-O13)/O13</f>
        <v>2211553.8641601563</v>
      </c>
    </row>
    <row r="15" spans="1:15" x14ac:dyDescent="0.2">
      <c r="A15" s="26">
        <v>4</v>
      </c>
      <c r="B15" s="7"/>
      <c r="C15" s="7"/>
      <c r="D15" s="8">
        <v>1018</v>
      </c>
      <c r="E15" s="9">
        <v>550</v>
      </c>
      <c r="F15" s="9">
        <v>9.6199999999999992</v>
      </c>
      <c r="G15" s="9">
        <v>6.34</v>
      </c>
      <c r="H15" s="24">
        <v>14.92</v>
      </c>
      <c r="I15" s="19"/>
      <c r="J15" s="133"/>
      <c r="K15" s="21" t="s">
        <v>50</v>
      </c>
      <c r="L15" s="52">
        <f>_xlfn.VAR.S($F12:$F22)</f>
        <v>14.095189090909106</v>
      </c>
      <c r="M15" s="52">
        <f>_xlfn.VAR.S($F23:$F29)</f>
        <v>5.4690476190476435E-2</v>
      </c>
      <c r="N15" s="52">
        <f>_xlfn.VAR.S($F30:$F35)</f>
        <v>0.17078666666666678</v>
      </c>
      <c r="O15" s="24">
        <f>_xlfn.VAR.S($F36:$F45)</f>
        <v>9.7822222222222165E-3</v>
      </c>
    </row>
    <row r="16" spans="1:15" x14ac:dyDescent="0.2">
      <c r="A16" s="26">
        <v>5</v>
      </c>
      <c r="B16" s="7"/>
      <c r="C16" s="7"/>
      <c r="D16" s="8">
        <v>2003</v>
      </c>
      <c r="E16" s="9">
        <v>356.25</v>
      </c>
      <c r="F16" s="9">
        <v>1.96</v>
      </c>
      <c r="G16" s="9">
        <v>7.29</v>
      </c>
      <c r="H16" s="24">
        <v>8.3800000000000008</v>
      </c>
      <c r="I16" s="19"/>
      <c r="J16" s="133"/>
      <c r="K16" s="21" t="s">
        <v>51</v>
      </c>
      <c r="L16" s="52">
        <f>AVERAGE($F12:$F22)*L12</f>
        <v>42677.221022727266</v>
      </c>
      <c r="M16" s="52">
        <f>AVERAGE($F23:$F29)*M12</f>
        <v>2684.6931428571424</v>
      </c>
      <c r="N16" s="52">
        <f>AVERAGE($F30:$F35)*N12</f>
        <v>2511.219208333333</v>
      </c>
      <c r="O16" s="24">
        <f>AVERAGE($F36:$F45)*O12</f>
        <v>583.75712500000009</v>
      </c>
    </row>
    <row r="17" spans="1:19" x14ac:dyDescent="0.2">
      <c r="A17" s="26">
        <v>6</v>
      </c>
      <c r="B17" s="7"/>
      <c r="C17" s="7"/>
      <c r="D17" s="8">
        <v>2007</v>
      </c>
      <c r="E17" s="9">
        <v>606.25</v>
      </c>
      <c r="F17" s="9">
        <v>5.39</v>
      </c>
      <c r="G17" s="9">
        <v>9.41</v>
      </c>
      <c r="H17" s="24">
        <v>10.64</v>
      </c>
      <c r="I17" s="19"/>
      <c r="J17" s="134"/>
      <c r="K17" s="41" t="s">
        <v>52</v>
      </c>
      <c r="L17" s="108">
        <f>(L12)^2*(L15)/(L13)</f>
        <v>89060432.749873146</v>
      </c>
      <c r="M17" s="53">
        <f>(M12)^2*(M15)/M13</f>
        <v>95686.45839292559</v>
      </c>
      <c r="N17" s="53">
        <f>(N12)^2*(N15)/(N13)</f>
        <v>339939.38420452882</v>
      </c>
      <c r="O17" s="25">
        <f>(O12)^2*(O15)/(O13)</f>
        <v>21679.963306601116</v>
      </c>
      <c r="P17" s="110"/>
    </row>
    <row r="18" spans="1:19" x14ac:dyDescent="0.2">
      <c r="A18" s="26">
        <v>7</v>
      </c>
      <c r="B18" s="7"/>
      <c r="C18" s="7"/>
      <c r="D18" s="8">
        <v>2012</v>
      </c>
      <c r="E18" s="9">
        <v>225</v>
      </c>
      <c r="F18" s="9">
        <v>0.79</v>
      </c>
      <c r="G18" s="9">
        <v>6.31</v>
      </c>
      <c r="H18" s="24">
        <v>6.67</v>
      </c>
      <c r="I18" s="19"/>
      <c r="J18" s="132" t="s">
        <v>78</v>
      </c>
      <c r="K18" s="43" t="s">
        <v>53</v>
      </c>
      <c r="L18" s="144">
        <f>SUM(L16:O16)</f>
        <v>48456.890498917739</v>
      </c>
      <c r="M18" s="145"/>
      <c r="N18" s="145"/>
      <c r="O18" s="146"/>
    </row>
    <row r="19" spans="1:19" x14ac:dyDescent="0.2">
      <c r="A19" s="26">
        <v>8</v>
      </c>
      <c r="B19" s="7"/>
      <c r="C19" s="7"/>
      <c r="D19" s="8">
        <v>2017</v>
      </c>
      <c r="E19" s="9">
        <v>343.75</v>
      </c>
      <c r="F19" s="9">
        <v>5.34</v>
      </c>
      <c r="G19" s="9">
        <v>13.62</v>
      </c>
      <c r="H19" s="24">
        <v>14.07</v>
      </c>
      <c r="I19" s="19"/>
      <c r="J19" s="133"/>
      <c r="K19" s="43" t="s">
        <v>54</v>
      </c>
      <c r="L19" s="147">
        <f>SUM(L17:O17)</f>
        <v>89517738.555777207</v>
      </c>
      <c r="M19" s="148"/>
      <c r="N19" s="148"/>
      <c r="O19" s="149"/>
    </row>
    <row r="20" spans="1:19" x14ac:dyDescent="0.2">
      <c r="A20" s="26">
        <v>9</v>
      </c>
      <c r="B20" s="7"/>
      <c r="C20" s="7"/>
      <c r="D20" s="8">
        <v>2020</v>
      </c>
      <c r="E20" s="9">
        <v>387.5</v>
      </c>
      <c r="F20" s="9">
        <v>2.72</v>
      </c>
      <c r="G20" s="9">
        <v>9.4</v>
      </c>
      <c r="H20" s="24">
        <v>9.4600000000000009</v>
      </c>
      <c r="I20" s="19"/>
      <c r="J20" s="133"/>
      <c r="K20" s="43" t="s">
        <v>126</v>
      </c>
      <c r="L20" s="147">
        <f>SUM(L12:O12)</f>
        <v>20000</v>
      </c>
      <c r="M20" s="148"/>
      <c r="N20" s="148"/>
      <c r="O20" s="149"/>
    </row>
    <row r="21" spans="1:19" x14ac:dyDescent="0.2">
      <c r="A21" s="26">
        <v>10</v>
      </c>
      <c r="B21" s="7"/>
      <c r="C21" s="7"/>
      <c r="D21" s="8">
        <v>3009</v>
      </c>
      <c r="E21" s="9">
        <v>281.25</v>
      </c>
      <c r="F21" s="9">
        <v>1.48</v>
      </c>
      <c r="G21" s="9">
        <v>7.94</v>
      </c>
      <c r="H21" s="24">
        <v>8.19</v>
      </c>
      <c r="I21" s="19"/>
      <c r="J21" s="133"/>
      <c r="K21" s="43" t="s">
        <v>55</v>
      </c>
      <c r="L21" s="147">
        <f>L18/L20</f>
        <v>2.4228445249458868</v>
      </c>
      <c r="M21" s="148"/>
      <c r="N21" s="148"/>
      <c r="O21" s="149"/>
    </row>
    <row r="22" spans="1:19" x14ac:dyDescent="0.2">
      <c r="A22" s="28">
        <v>11</v>
      </c>
      <c r="B22" s="13"/>
      <c r="C22" s="13"/>
      <c r="D22" s="11">
        <v>3042</v>
      </c>
      <c r="E22" s="16">
        <v>218.75</v>
      </c>
      <c r="F22" s="16">
        <v>0.98</v>
      </c>
      <c r="G22" s="16">
        <v>7.25</v>
      </c>
      <c r="H22" s="25">
        <v>7.54</v>
      </c>
      <c r="I22" s="19"/>
      <c r="J22" s="134"/>
      <c r="K22" s="44" t="s">
        <v>56</v>
      </c>
      <c r="L22" s="150">
        <f>(L19/(L20)^2)</f>
        <v>0.22379434638944301</v>
      </c>
      <c r="M22" s="151"/>
      <c r="N22" s="151"/>
      <c r="O22" s="152"/>
      <c r="P22" s="159" t="s">
        <v>128</v>
      </c>
      <c r="Q22" s="160"/>
      <c r="R22" s="160"/>
      <c r="S22" s="160"/>
    </row>
    <row r="23" spans="1:19" ht="12.75" customHeight="1" x14ac:dyDescent="0.2">
      <c r="A23" s="26">
        <v>12</v>
      </c>
      <c r="B23" s="7" t="s">
        <v>34</v>
      </c>
      <c r="C23" s="7">
        <v>559.93600000000004</v>
      </c>
      <c r="D23" s="8">
        <v>1002</v>
      </c>
      <c r="E23" s="9">
        <v>181.25</v>
      </c>
      <c r="F23" s="9">
        <v>0.74</v>
      </c>
      <c r="G23" s="9">
        <v>6.8</v>
      </c>
      <c r="H23" s="24">
        <v>7.19</v>
      </c>
      <c r="I23" s="19"/>
      <c r="J23" s="132" t="s">
        <v>59</v>
      </c>
      <c r="K23" s="45" t="s">
        <v>57</v>
      </c>
      <c r="L23" s="144">
        <f>(P33)</f>
        <v>30.308247840148375</v>
      </c>
      <c r="M23" s="145"/>
      <c r="N23" s="145"/>
      <c r="O23" s="146"/>
      <c r="P23">
        <f>(L14*L15)</f>
        <v>88942922.920320883</v>
      </c>
      <c r="Q23">
        <f>(M14*M15)</f>
        <v>95495.063602449402</v>
      </c>
      <c r="R23">
        <f>(N14*N15)</f>
        <v>339349.17857444548</v>
      </c>
      <c r="S23">
        <f>(O14*O15)</f>
        <v>21633.911355628894</v>
      </c>
    </row>
    <row r="24" spans="1:19" x14ac:dyDescent="0.2">
      <c r="A24" s="26">
        <v>13</v>
      </c>
      <c r="B24" s="7"/>
      <c r="C24" s="7"/>
      <c r="D24" s="8">
        <v>1026</v>
      </c>
      <c r="E24" s="9">
        <v>200</v>
      </c>
      <c r="F24" s="9">
        <v>1.18</v>
      </c>
      <c r="G24" s="9">
        <v>5.72</v>
      </c>
      <c r="H24" s="24">
        <v>8.67</v>
      </c>
      <c r="I24" s="19"/>
      <c r="J24" s="133"/>
      <c r="K24" s="43" t="s">
        <v>58</v>
      </c>
      <c r="L24" s="113">
        <f>((L12)*(L12-L13)/(L13))</f>
        <v>6310161.7400568184</v>
      </c>
      <c r="M24" s="111">
        <f>((M12)*(M12-M13)/(M13))</f>
        <v>1746100.4228571428</v>
      </c>
      <c r="N24" s="111">
        <f>((N12)*(N12-N13)/(N13))</f>
        <v>1986977.0000065106</v>
      </c>
      <c r="O24" s="112">
        <f>((O12)*(O12-O13)/(O13))</f>
        <v>2211553.8641601563</v>
      </c>
      <c r="P24" s="161" t="s">
        <v>129</v>
      </c>
      <c r="Q24" s="162"/>
      <c r="R24" s="162"/>
      <c r="S24" s="162"/>
    </row>
    <row r="25" spans="1:19" x14ac:dyDescent="0.2">
      <c r="A25" s="26">
        <v>14</v>
      </c>
      <c r="B25" s="7"/>
      <c r="C25" s="7"/>
      <c r="D25" s="8">
        <v>1028</v>
      </c>
      <c r="E25" s="9">
        <v>137.5</v>
      </c>
      <c r="F25" s="9">
        <v>0.76</v>
      </c>
      <c r="G25" s="9">
        <v>8.02</v>
      </c>
      <c r="H25" s="24">
        <v>8.41</v>
      </c>
      <c r="I25" s="19"/>
      <c r="J25" s="133"/>
      <c r="K25" s="43" t="s">
        <v>60</v>
      </c>
      <c r="L25" s="147">
        <f>(P35)*SQRT(L22)</f>
        <v>1.0218291943933613</v>
      </c>
      <c r="M25" s="148"/>
      <c r="N25" s="148"/>
      <c r="O25" s="149"/>
      <c r="P25" s="163">
        <f>(P23+Q23+R23+S23)^2</f>
        <v>7992252912363701</v>
      </c>
      <c r="Q25" s="164"/>
      <c r="R25" s="164"/>
      <c r="S25" s="164"/>
    </row>
    <row r="26" spans="1:19" x14ac:dyDescent="0.2">
      <c r="A26" s="26">
        <v>15</v>
      </c>
      <c r="B26" s="7"/>
      <c r="C26" s="7"/>
      <c r="D26" s="8">
        <v>2013</v>
      </c>
      <c r="E26" s="9">
        <v>168.75</v>
      </c>
      <c r="F26" s="9">
        <v>0.55000000000000004</v>
      </c>
      <c r="G26" s="9">
        <v>6.27</v>
      </c>
      <c r="H26" s="24">
        <v>6.42</v>
      </c>
      <c r="I26" s="19"/>
      <c r="J26" s="134"/>
      <c r="K26" s="44" t="s">
        <v>134</v>
      </c>
      <c r="L26" s="150">
        <f>(L25/L21)*100</f>
        <v>42.174773654375677</v>
      </c>
      <c r="M26" s="151"/>
      <c r="N26" s="151"/>
      <c r="O26" s="152"/>
      <c r="P26" s="161" t="s">
        <v>127</v>
      </c>
      <c r="Q26" s="162"/>
      <c r="R26" s="162"/>
      <c r="S26" s="162"/>
    </row>
    <row r="27" spans="1:19" ht="12.75" customHeight="1" x14ac:dyDescent="0.2">
      <c r="A27" s="26">
        <v>16</v>
      </c>
      <c r="B27" s="7"/>
      <c r="C27" s="7"/>
      <c r="D27" s="8">
        <v>3004</v>
      </c>
      <c r="E27" s="9">
        <v>131.25</v>
      </c>
      <c r="F27" s="9">
        <v>0.52</v>
      </c>
      <c r="G27" s="9">
        <v>6.56</v>
      </c>
      <c r="H27" s="24">
        <v>7.1</v>
      </c>
      <c r="I27" s="19"/>
      <c r="J27" s="132" t="s">
        <v>61</v>
      </c>
      <c r="K27" s="46" t="s">
        <v>62</v>
      </c>
      <c r="L27" s="52"/>
      <c r="M27" s="52"/>
      <c r="N27" s="52"/>
      <c r="O27" s="24"/>
      <c r="P27">
        <f>(L14*L15)^2</f>
        <v>7910843537610142</v>
      </c>
      <c r="Q27">
        <f>(M14*M15)^2</f>
        <v>9119307172.4358559</v>
      </c>
      <c r="R27">
        <f>(N14*N15)^2</f>
        <v>115157864999.15089</v>
      </c>
      <c r="S27">
        <f>(O14*O15)^2</f>
        <v>468026120.54320878</v>
      </c>
    </row>
    <row r="28" spans="1:19" x14ac:dyDescent="0.2">
      <c r="A28" s="26">
        <v>17</v>
      </c>
      <c r="B28" s="17"/>
      <c r="C28" s="17"/>
      <c r="D28" s="18">
        <v>4002</v>
      </c>
      <c r="E28" s="19">
        <v>200</v>
      </c>
      <c r="F28" s="19">
        <v>0.66</v>
      </c>
      <c r="G28" s="19">
        <v>6.21</v>
      </c>
      <c r="H28" s="24">
        <v>6.49</v>
      </c>
      <c r="I28" s="19"/>
      <c r="J28" s="133"/>
      <c r="K28" s="47" t="s">
        <v>63</v>
      </c>
      <c r="L28" s="52"/>
      <c r="M28" s="52"/>
      <c r="N28" s="52"/>
      <c r="O28" s="24"/>
      <c r="P28" s="161" t="s">
        <v>130</v>
      </c>
      <c r="Q28" s="162"/>
      <c r="R28" s="162"/>
      <c r="S28" s="162"/>
    </row>
    <row r="29" spans="1:19" x14ac:dyDescent="0.2">
      <c r="A29" s="28">
        <v>18</v>
      </c>
      <c r="B29" s="20"/>
      <c r="C29" s="20"/>
      <c r="D29" s="11">
        <v>4010</v>
      </c>
      <c r="E29" s="16">
        <v>143.75</v>
      </c>
      <c r="F29" s="16">
        <v>0.96</v>
      </c>
      <c r="G29" s="16">
        <v>3.93</v>
      </c>
      <c r="H29" s="25">
        <v>9.2200000000000006</v>
      </c>
      <c r="I29" s="19"/>
      <c r="J29" s="133"/>
      <c r="K29" s="39" t="s">
        <v>64</v>
      </c>
      <c r="L29" s="52"/>
      <c r="M29" s="52"/>
      <c r="N29" s="52"/>
      <c r="O29" s="24"/>
      <c r="P29" s="163">
        <f>(P27+Q27+R27+S27)</f>
        <v>7910968282808434</v>
      </c>
      <c r="Q29" s="164"/>
      <c r="R29" s="164"/>
      <c r="S29" s="164"/>
    </row>
    <row r="30" spans="1:19" x14ac:dyDescent="0.2">
      <c r="A30" s="26">
        <v>19</v>
      </c>
      <c r="B30" s="7" t="s">
        <v>35</v>
      </c>
      <c r="C30" s="7">
        <v>552.92899999999997</v>
      </c>
      <c r="D30" s="8">
        <v>1025</v>
      </c>
      <c r="E30" s="9">
        <v>112.5</v>
      </c>
      <c r="F30" s="9">
        <v>0.87</v>
      </c>
      <c r="G30" s="9">
        <v>4.3</v>
      </c>
      <c r="H30" s="24">
        <v>9.91</v>
      </c>
      <c r="I30" s="19"/>
      <c r="J30" s="134"/>
      <c r="K30" s="38" t="s">
        <v>65</v>
      </c>
      <c r="L30" s="52"/>
      <c r="M30" s="52"/>
      <c r="N30" s="52"/>
      <c r="O30" s="24"/>
      <c r="P30" s="165" t="s">
        <v>132</v>
      </c>
      <c r="Q30" s="166"/>
      <c r="R30" s="166"/>
      <c r="S30" s="166"/>
    </row>
    <row r="31" spans="1:19" x14ac:dyDescent="0.2">
      <c r="A31" s="26">
        <v>20</v>
      </c>
      <c r="D31" s="8">
        <v>1029</v>
      </c>
      <c r="E31" s="9">
        <v>125</v>
      </c>
      <c r="F31" s="9">
        <v>1.05</v>
      </c>
      <c r="G31" s="9">
        <v>3.43</v>
      </c>
      <c r="H31" s="24">
        <v>10.37</v>
      </c>
      <c r="I31" s="19"/>
      <c r="J31" s="132" t="s">
        <v>66</v>
      </c>
      <c r="K31" s="42" t="s">
        <v>67</v>
      </c>
      <c r="L31" s="52"/>
      <c r="M31" s="52"/>
      <c r="N31" s="52"/>
      <c r="O31" s="24"/>
      <c r="P31">
        <f>(P$25)/((P$29)/(L13-1))</f>
        <v>10.102749280049458</v>
      </c>
      <c r="Q31">
        <f>(P$25)/((P$29)/(M13-1))</f>
        <v>6.0616495680296749</v>
      </c>
      <c r="R31">
        <f>(P$25)/((P$29)/(N13-1))</f>
        <v>5.0513746400247292</v>
      </c>
      <c r="S31">
        <f>(P$25)/((P$29)/(O13-1))</f>
        <v>9.0924743520445137</v>
      </c>
    </row>
    <row r="32" spans="1:19" x14ac:dyDescent="0.2">
      <c r="A32" s="26">
        <v>21</v>
      </c>
      <c r="B32" s="7"/>
      <c r="C32" s="7"/>
      <c r="D32" s="8">
        <v>1031</v>
      </c>
      <c r="E32" s="9">
        <v>125</v>
      </c>
      <c r="F32" s="9">
        <v>1.31</v>
      </c>
      <c r="G32" s="9">
        <v>2.95</v>
      </c>
      <c r="H32" s="24">
        <v>11.57</v>
      </c>
      <c r="I32" s="19"/>
      <c r="J32" s="133"/>
      <c r="K32" s="40" t="s">
        <v>68</v>
      </c>
      <c r="L32" s="52"/>
      <c r="M32" s="52"/>
      <c r="N32" s="52"/>
      <c r="O32" s="24"/>
      <c r="P32" s="161" t="s">
        <v>131</v>
      </c>
      <c r="Q32" s="162"/>
      <c r="R32" s="162"/>
      <c r="S32" s="162"/>
    </row>
    <row r="33" spans="1:19" x14ac:dyDescent="0.2">
      <c r="A33" s="26">
        <v>22</v>
      </c>
      <c r="B33" s="7"/>
      <c r="C33" s="7"/>
      <c r="D33" s="8">
        <v>2026</v>
      </c>
      <c r="E33" s="9">
        <v>93.75</v>
      </c>
      <c r="F33" s="9">
        <v>0.28999999999999998</v>
      </c>
      <c r="G33" s="9">
        <v>6.14</v>
      </c>
      <c r="H33" s="24">
        <v>6.28</v>
      </c>
      <c r="I33" s="19"/>
      <c r="J33" s="134"/>
      <c r="K33" s="41" t="s">
        <v>69</v>
      </c>
      <c r="L33" s="53"/>
      <c r="M33" s="53"/>
      <c r="N33" s="53"/>
      <c r="O33" s="25"/>
      <c r="P33" s="163">
        <f>(P31+Q31+R31+S31)</f>
        <v>30.308247840148375</v>
      </c>
      <c r="Q33" s="164"/>
      <c r="R33" s="164"/>
      <c r="S33" s="164"/>
    </row>
    <row r="34" spans="1:19" x14ac:dyDescent="0.2">
      <c r="A34" s="26">
        <v>23</v>
      </c>
      <c r="B34" s="7"/>
      <c r="C34" s="7"/>
      <c r="D34" s="8">
        <v>2037</v>
      </c>
      <c r="E34" s="9">
        <v>100</v>
      </c>
      <c r="F34" s="9">
        <v>0.49</v>
      </c>
      <c r="G34" s="9">
        <v>7.27</v>
      </c>
      <c r="H34" s="24">
        <v>7.89</v>
      </c>
      <c r="I34" s="19"/>
      <c r="P34" s="166" t="s">
        <v>133</v>
      </c>
      <c r="Q34" s="166"/>
      <c r="R34" s="166"/>
      <c r="S34" s="166"/>
    </row>
    <row r="35" spans="1:19" x14ac:dyDescent="0.2">
      <c r="A35" s="28">
        <v>24</v>
      </c>
      <c r="B35" s="13"/>
      <c r="C35" s="13"/>
      <c r="D35" s="11">
        <v>4011</v>
      </c>
      <c r="E35" s="16">
        <v>112.5</v>
      </c>
      <c r="F35" s="16">
        <v>0.35</v>
      </c>
      <c r="G35" s="16">
        <v>6.57</v>
      </c>
      <c r="H35" s="25">
        <v>6.26</v>
      </c>
      <c r="I35" s="19"/>
      <c r="K35" t="s">
        <v>76</v>
      </c>
      <c r="P35" s="164">
        <v>2.16</v>
      </c>
      <c r="Q35" s="164"/>
      <c r="R35" s="164"/>
      <c r="S35" s="164"/>
    </row>
    <row r="36" spans="1:19" x14ac:dyDescent="0.2">
      <c r="A36" s="26">
        <v>25</v>
      </c>
      <c r="B36" s="7" t="s">
        <v>36</v>
      </c>
      <c r="C36" s="7">
        <v>753.23500000000001</v>
      </c>
      <c r="D36" s="8">
        <v>1003</v>
      </c>
      <c r="E36" s="9">
        <v>87.5</v>
      </c>
      <c r="F36" s="9">
        <v>0.34</v>
      </c>
      <c r="G36" s="9">
        <v>7.55</v>
      </c>
      <c r="H36" s="24">
        <v>7.03</v>
      </c>
      <c r="I36" s="19"/>
    </row>
    <row r="37" spans="1:19" x14ac:dyDescent="0.2">
      <c r="A37" s="26">
        <v>26</v>
      </c>
      <c r="D37" s="8">
        <v>2029</v>
      </c>
      <c r="E37" s="9">
        <v>37.5</v>
      </c>
      <c r="F37" s="9">
        <v>0.11</v>
      </c>
      <c r="G37" s="9">
        <v>5.99</v>
      </c>
      <c r="H37" s="24">
        <v>6.05</v>
      </c>
      <c r="I37" s="19"/>
    </row>
    <row r="38" spans="1:19" x14ac:dyDescent="0.2">
      <c r="A38" s="26">
        <v>27</v>
      </c>
      <c r="B38" s="7"/>
      <c r="C38" s="7"/>
      <c r="D38" s="8">
        <v>2035</v>
      </c>
      <c r="E38" s="9">
        <v>50</v>
      </c>
      <c r="F38" s="9">
        <v>0.14000000000000001</v>
      </c>
      <c r="G38" s="9">
        <v>5.86</v>
      </c>
      <c r="H38" s="24">
        <v>5.91</v>
      </c>
      <c r="I38" s="19"/>
    </row>
    <row r="39" spans="1:19" x14ac:dyDescent="0.2">
      <c r="A39" s="26">
        <v>28</v>
      </c>
      <c r="B39" s="7"/>
      <c r="C39" s="7"/>
      <c r="D39" s="8">
        <v>3039</v>
      </c>
      <c r="E39" s="9">
        <v>6.25</v>
      </c>
      <c r="F39" s="9">
        <v>0.02</v>
      </c>
      <c r="G39" s="9">
        <v>5.7</v>
      </c>
      <c r="H39" s="24">
        <v>5.7</v>
      </c>
      <c r="I39" s="19"/>
    </row>
    <row r="40" spans="1:19" x14ac:dyDescent="0.2">
      <c r="A40" s="26">
        <v>29</v>
      </c>
      <c r="B40" s="7"/>
      <c r="C40" s="7"/>
      <c r="D40" s="8">
        <v>3063</v>
      </c>
      <c r="E40" s="9">
        <v>68.75</v>
      </c>
      <c r="F40" s="9">
        <v>0.24</v>
      </c>
      <c r="G40" s="9">
        <v>6.25</v>
      </c>
      <c r="H40" s="24">
        <v>6.64</v>
      </c>
      <c r="I40" s="19"/>
    </row>
    <row r="41" spans="1:19" x14ac:dyDescent="0.2">
      <c r="A41" s="26">
        <v>30</v>
      </c>
      <c r="B41" s="17"/>
      <c r="C41" s="17"/>
      <c r="D41" s="8">
        <v>4009</v>
      </c>
      <c r="E41" s="9">
        <v>56.25</v>
      </c>
      <c r="F41" s="9">
        <v>0.13</v>
      </c>
      <c r="G41" s="9">
        <v>5.47</v>
      </c>
      <c r="H41" s="24">
        <v>5.4</v>
      </c>
      <c r="I41" s="19"/>
    </row>
    <row r="42" spans="1:19" x14ac:dyDescent="0.2">
      <c r="A42" s="26">
        <v>31</v>
      </c>
      <c r="D42" s="8">
        <v>4014</v>
      </c>
      <c r="E42" s="9">
        <v>18.75</v>
      </c>
      <c r="F42" s="9">
        <v>0.04</v>
      </c>
      <c r="G42" s="9">
        <v>5.33</v>
      </c>
      <c r="H42" s="24">
        <v>5.36</v>
      </c>
      <c r="I42" s="19"/>
    </row>
    <row r="43" spans="1:19" x14ac:dyDescent="0.2">
      <c r="A43" s="26">
        <v>32</v>
      </c>
      <c r="D43" s="18">
        <v>4016</v>
      </c>
      <c r="E43" s="19">
        <v>31.25</v>
      </c>
      <c r="F43" s="19">
        <v>0.08</v>
      </c>
      <c r="G43" s="19">
        <v>5.62</v>
      </c>
      <c r="H43" s="24">
        <v>5.69</v>
      </c>
      <c r="I43" s="19"/>
    </row>
    <row r="44" spans="1:19" x14ac:dyDescent="0.2">
      <c r="A44" s="26">
        <v>33</v>
      </c>
      <c r="D44" s="8">
        <v>4017</v>
      </c>
      <c r="E44" s="9">
        <v>37.5</v>
      </c>
      <c r="F44" s="9">
        <v>0.1</v>
      </c>
      <c r="G44" s="9">
        <v>5.61</v>
      </c>
      <c r="H44" s="24">
        <v>5.7</v>
      </c>
      <c r="I44" s="19"/>
    </row>
    <row r="45" spans="1:19" x14ac:dyDescent="0.2">
      <c r="A45" s="28">
        <v>34</v>
      </c>
      <c r="B45" s="20"/>
      <c r="C45" s="20"/>
      <c r="D45" s="11">
        <v>4018</v>
      </c>
      <c r="E45" s="16">
        <v>18.75</v>
      </c>
      <c r="F45" s="16">
        <v>0.04</v>
      </c>
      <c r="G45" s="16">
        <v>5.36</v>
      </c>
      <c r="H45" s="25">
        <v>5.37</v>
      </c>
      <c r="I45" s="19"/>
    </row>
    <row r="46" spans="1:19" x14ac:dyDescent="0.2">
      <c r="B46" s="7" t="s">
        <v>37</v>
      </c>
      <c r="C46" s="7">
        <f>SUM(C12:C45)</f>
        <v>3200.0000000000005</v>
      </c>
      <c r="E46" s="48">
        <f>SUM(E12:E45)</f>
        <v>7875</v>
      </c>
      <c r="F46" s="31">
        <f>SUM(F12:F45)</f>
        <v>67.279999999999973</v>
      </c>
      <c r="G46" s="31">
        <f>SUM(G12:G45)</f>
        <v>226.46000000000006</v>
      </c>
      <c r="H46" s="31">
        <f>SUM(H12:H45)</f>
        <v>279.65999999999997</v>
      </c>
      <c r="I46" s="31"/>
    </row>
    <row r="47" spans="1:19" ht="13.5" customHeight="1" x14ac:dyDescent="0.2">
      <c r="A47" s="20"/>
      <c r="B47" s="50"/>
      <c r="C47" s="11"/>
      <c r="D47" s="11" t="s">
        <v>70</v>
      </c>
      <c r="E47" s="51">
        <f>(1/34)*E46</f>
        <v>231.61764705882354</v>
      </c>
      <c r="F47" s="51">
        <f>(1/34)*F46</f>
        <v>1.978823529411764</v>
      </c>
      <c r="G47" s="51">
        <f>(1/34)*G46</f>
        <v>6.660588235294119</v>
      </c>
      <c r="H47" s="51">
        <f>(1/34)*H46</f>
        <v>8.2252941176470582</v>
      </c>
    </row>
    <row r="48" spans="1:19" ht="12" customHeight="1" x14ac:dyDescent="0.2"/>
    <row r="49" spans="2:9" ht="12.75" customHeight="1" x14ac:dyDescent="0.2">
      <c r="B49" s="130" t="s">
        <v>38</v>
      </c>
      <c r="C49" s="130"/>
      <c r="D49" s="130"/>
      <c r="E49" s="130"/>
      <c r="F49" s="130"/>
      <c r="G49" s="130"/>
      <c r="H49" s="130"/>
      <c r="I49" s="3"/>
    </row>
    <row r="50" spans="2:9" ht="16.5" customHeight="1" x14ac:dyDescent="0.2">
      <c r="B50" s="130" t="s">
        <v>39</v>
      </c>
      <c r="C50" s="130"/>
      <c r="D50" s="130"/>
      <c r="E50" s="130"/>
      <c r="F50" s="130"/>
      <c r="G50" s="130"/>
      <c r="H50" s="130"/>
      <c r="I50" s="3"/>
    </row>
    <row r="51" spans="2:9" ht="13.5" customHeight="1" x14ac:dyDescent="0.2">
      <c r="B51" s="130" t="s">
        <v>40</v>
      </c>
      <c r="C51" s="130"/>
      <c r="D51" s="130"/>
      <c r="E51" s="130"/>
      <c r="F51" s="130"/>
      <c r="G51" s="130"/>
      <c r="H51" s="130"/>
      <c r="I51" s="3"/>
    </row>
    <row r="52" spans="2:9" ht="15" customHeight="1" x14ac:dyDescent="0.2">
      <c r="B52" s="130" t="s">
        <v>41</v>
      </c>
      <c r="C52" s="130"/>
      <c r="D52" s="130"/>
      <c r="E52" s="130"/>
      <c r="F52" s="130"/>
      <c r="G52" s="130"/>
      <c r="H52" s="130"/>
      <c r="I52" s="3"/>
    </row>
  </sheetData>
  <mergeCells count="44">
    <mergeCell ref="P35:S35"/>
    <mergeCell ref="P29:S29"/>
    <mergeCell ref="P30:S30"/>
    <mergeCell ref="P32:S32"/>
    <mergeCell ref="P33:S33"/>
    <mergeCell ref="P34:S34"/>
    <mergeCell ref="P22:S22"/>
    <mergeCell ref="P24:S24"/>
    <mergeCell ref="P25:S25"/>
    <mergeCell ref="P26:S26"/>
    <mergeCell ref="P28:S28"/>
    <mergeCell ref="A8:A11"/>
    <mergeCell ref="F8:F11"/>
    <mergeCell ref="G8:G11"/>
    <mergeCell ref="H8:H11"/>
    <mergeCell ref="J11:J17"/>
    <mergeCell ref="O8:O10"/>
    <mergeCell ref="J23:J26"/>
    <mergeCell ref="J27:J30"/>
    <mergeCell ref="J18:J22"/>
    <mergeCell ref="B52:H52"/>
    <mergeCell ref="B49:H49"/>
    <mergeCell ref="B50:H50"/>
    <mergeCell ref="B51:H51"/>
    <mergeCell ref="L22:O22"/>
    <mergeCell ref="L23:O23"/>
    <mergeCell ref="L25:O25"/>
    <mergeCell ref="L26:O26"/>
    <mergeCell ref="B3:N3"/>
    <mergeCell ref="L8:L10"/>
    <mergeCell ref="M8:M10"/>
    <mergeCell ref="N8:N10"/>
    <mergeCell ref="J31:J33"/>
    <mergeCell ref="B8:B11"/>
    <mergeCell ref="E8:E11"/>
    <mergeCell ref="D8:D11"/>
    <mergeCell ref="C8:C11"/>
    <mergeCell ref="B5:H5"/>
    <mergeCell ref="B6:H6"/>
    <mergeCell ref="B4:H4"/>
    <mergeCell ref="L18:O18"/>
    <mergeCell ref="L19:O19"/>
    <mergeCell ref="L20:O20"/>
    <mergeCell ref="L21:O21"/>
  </mergeCells>
  <pageMargins left="0.67986111111111103" right="9.9305555555555605E-2" top="0.87361111111111101" bottom="0.62222222222222201" header="0.33055555555555599" footer="0.35694444444444401"/>
  <pageSetup paperSize="9" orientation="portrait" useFirstPageNumber="1" horizontalDpi="300" verticalDpi="300" r:id="rId1"/>
  <headerFooter>
    <oddHeader>&amp;C&amp;"Times New Roman,Regular"&amp;16LCF0510 inventario Florestal - 2021
Aula 09 - Exercicios</oddHeader>
    <oddFooter>&amp;C&amp;"Times New Roman,Regular"&amp;12Page &amp;P</oddFooter>
  </headerFooter>
  <ignoredErrors>
    <ignoredError sqref="L13:O13 L15:O16" formulaRange="1"/>
    <ignoredError sqref="M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1" workbookViewId="0">
      <selection activeCell="Q51" sqref="Q51"/>
    </sheetView>
  </sheetViews>
  <sheetFormatPr defaultRowHeight="12.75" x14ac:dyDescent="0.2"/>
  <cols>
    <col min="1" max="1" width="3" customWidth="1"/>
    <col min="2" max="2" width="10" customWidth="1"/>
    <col min="3" max="4" width="10.42578125" customWidth="1"/>
    <col min="5" max="5" width="11.42578125" customWidth="1"/>
    <col min="6" max="6" width="23.5703125" customWidth="1"/>
    <col min="7" max="7" width="23.140625" customWidth="1"/>
    <col min="8" max="8" width="17.140625" customWidth="1"/>
    <col min="9" max="9" width="15.28515625" customWidth="1"/>
    <col min="10" max="10" width="11.85546875" customWidth="1"/>
    <col min="11" max="11" width="11.42578125" customWidth="1"/>
    <col min="12" max="12" width="2.140625" customWidth="1"/>
    <col min="17" max="17" width="10.140625" customWidth="1"/>
  </cols>
  <sheetData>
    <row r="1" spans="1:11" ht="18.75" x14ac:dyDescent="0.2">
      <c r="B1" s="1" t="s">
        <v>1</v>
      </c>
    </row>
    <row r="3" spans="1:11" x14ac:dyDescent="0.2">
      <c r="B3" s="171" t="s">
        <v>4</v>
      </c>
      <c r="C3" s="171"/>
      <c r="D3" s="171"/>
      <c r="E3" s="171"/>
      <c r="F3" s="171"/>
      <c r="G3" s="171"/>
      <c r="H3" s="171"/>
      <c r="I3" s="171"/>
      <c r="J3" s="171"/>
      <c r="K3" s="171"/>
    </row>
    <row r="4" spans="1:11" ht="12.75" customHeight="1" x14ac:dyDescent="0.2">
      <c r="B4" s="130" t="s">
        <v>7</v>
      </c>
      <c r="C4" s="130"/>
      <c r="D4" s="130"/>
      <c r="E4" s="130"/>
      <c r="F4" s="130"/>
      <c r="G4" s="130"/>
      <c r="H4" s="130"/>
      <c r="I4" s="130"/>
      <c r="J4" s="130"/>
      <c r="K4" s="130"/>
    </row>
    <row r="5" spans="1:11" x14ac:dyDescent="0.2"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8" spans="1:11" x14ac:dyDescent="0.2">
      <c r="A8" s="54" t="s">
        <v>42</v>
      </c>
      <c r="B8" s="29" t="s">
        <v>13</v>
      </c>
      <c r="C8" s="29" t="s">
        <v>14</v>
      </c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30" t="s">
        <v>20</v>
      </c>
    </row>
    <row r="9" spans="1:11" s="101" customFormat="1" x14ac:dyDescent="0.2">
      <c r="A9" s="99">
        <v>1</v>
      </c>
      <c r="B9" s="62">
        <v>11</v>
      </c>
      <c r="C9" s="63">
        <v>3.3342465753424699</v>
      </c>
      <c r="D9" s="63">
        <v>26.06</v>
      </c>
      <c r="E9" s="62">
        <v>1</v>
      </c>
      <c r="F9" s="62" t="s">
        <v>22</v>
      </c>
      <c r="G9" s="62" t="s">
        <v>23</v>
      </c>
      <c r="H9" s="62" t="s">
        <v>24</v>
      </c>
      <c r="I9" s="100" t="s">
        <v>25</v>
      </c>
    </row>
    <row r="10" spans="1:11" s="101" customFormat="1" x14ac:dyDescent="0.2">
      <c r="A10" s="99">
        <v>2</v>
      </c>
      <c r="B10" s="62">
        <v>12</v>
      </c>
      <c r="C10" s="63">
        <v>3.32328767123288</v>
      </c>
      <c r="D10" s="63">
        <v>22.41</v>
      </c>
      <c r="E10" s="62">
        <v>1</v>
      </c>
      <c r="F10" s="62" t="s">
        <v>22</v>
      </c>
      <c r="G10" s="62" t="s">
        <v>27</v>
      </c>
      <c r="H10" s="62" t="s">
        <v>24</v>
      </c>
      <c r="I10" s="100" t="s">
        <v>25</v>
      </c>
    </row>
    <row r="11" spans="1:11" s="101" customFormat="1" x14ac:dyDescent="0.2">
      <c r="A11" s="99">
        <v>3</v>
      </c>
      <c r="B11" s="62">
        <v>13</v>
      </c>
      <c r="C11" s="63">
        <v>3.3287671232876699</v>
      </c>
      <c r="D11" s="63">
        <v>31.05</v>
      </c>
      <c r="E11" s="62">
        <v>1</v>
      </c>
      <c r="F11" s="62" t="s">
        <v>22</v>
      </c>
      <c r="G11" s="62" t="s">
        <v>27</v>
      </c>
      <c r="H11" s="62" t="s">
        <v>24</v>
      </c>
      <c r="I11" s="100" t="s">
        <v>25</v>
      </c>
    </row>
    <row r="12" spans="1:11" s="101" customFormat="1" x14ac:dyDescent="0.2">
      <c r="A12" s="99">
        <v>4</v>
      </c>
      <c r="B12" s="62">
        <v>15</v>
      </c>
      <c r="C12" s="63">
        <v>6.0410958904109604</v>
      </c>
      <c r="D12" s="63">
        <v>23.4</v>
      </c>
      <c r="E12" s="62">
        <v>2</v>
      </c>
      <c r="F12" s="62" t="s">
        <v>29</v>
      </c>
      <c r="G12" s="62" t="s">
        <v>23</v>
      </c>
      <c r="H12" s="62" t="s">
        <v>30</v>
      </c>
      <c r="I12" s="100" t="s">
        <v>25</v>
      </c>
    </row>
    <row r="13" spans="1:11" s="101" customFormat="1" x14ac:dyDescent="0.2">
      <c r="A13" s="99">
        <v>5</v>
      </c>
      <c r="B13" s="62">
        <v>16</v>
      </c>
      <c r="C13" s="63">
        <v>6.1835616438356196</v>
      </c>
      <c r="D13" s="63">
        <v>28.05</v>
      </c>
      <c r="E13" s="62">
        <v>2</v>
      </c>
      <c r="F13" s="62" t="s">
        <v>29</v>
      </c>
      <c r="G13" s="62" t="s">
        <v>23</v>
      </c>
      <c r="H13" s="62" t="s">
        <v>30</v>
      </c>
      <c r="I13" s="100" t="s">
        <v>25</v>
      </c>
    </row>
    <row r="14" spans="1:11" s="101" customFormat="1" x14ac:dyDescent="0.2">
      <c r="A14" s="99">
        <v>6</v>
      </c>
      <c r="B14" s="62">
        <v>17</v>
      </c>
      <c r="C14" s="63">
        <v>6.1863013698630098</v>
      </c>
      <c r="D14" s="63">
        <v>36.549999999999997</v>
      </c>
      <c r="E14" s="62">
        <v>2</v>
      </c>
      <c r="F14" s="62" t="s">
        <v>29</v>
      </c>
      <c r="G14" s="62" t="s">
        <v>23</v>
      </c>
      <c r="H14" s="62" t="s">
        <v>30</v>
      </c>
      <c r="I14" s="100" t="s">
        <v>25</v>
      </c>
    </row>
    <row r="15" spans="1:11" s="101" customFormat="1" x14ac:dyDescent="0.2">
      <c r="A15" s="99">
        <v>7</v>
      </c>
      <c r="B15" s="62">
        <v>18</v>
      </c>
      <c r="C15" s="63">
        <v>6.2301369863013702</v>
      </c>
      <c r="D15" s="63">
        <v>54.47</v>
      </c>
      <c r="E15" s="62">
        <v>2</v>
      </c>
      <c r="F15" s="62" t="s">
        <v>29</v>
      </c>
      <c r="G15" s="62" t="s">
        <v>23</v>
      </c>
      <c r="H15" s="62" t="s">
        <v>30</v>
      </c>
      <c r="I15" s="100" t="s">
        <v>25</v>
      </c>
    </row>
    <row r="16" spans="1:11" s="101" customFormat="1" x14ac:dyDescent="0.2">
      <c r="A16" s="99">
        <v>8</v>
      </c>
      <c r="B16" s="62">
        <v>19</v>
      </c>
      <c r="C16" s="63">
        <v>6.1780821917808204</v>
      </c>
      <c r="D16" s="63">
        <v>46.87</v>
      </c>
      <c r="E16" s="62">
        <v>2</v>
      </c>
      <c r="F16" s="62" t="s">
        <v>29</v>
      </c>
      <c r="G16" s="62" t="s">
        <v>23</v>
      </c>
      <c r="H16" s="62" t="s">
        <v>30</v>
      </c>
      <c r="I16" s="100" t="s">
        <v>25</v>
      </c>
    </row>
    <row r="17" spans="1:17" s="101" customFormat="1" x14ac:dyDescent="0.2">
      <c r="A17" s="99">
        <v>9</v>
      </c>
      <c r="B17" s="62">
        <v>26</v>
      </c>
      <c r="C17" s="63">
        <v>3.3506849315068501</v>
      </c>
      <c r="D17" s="63">
        <v>27.87</v>
      </c>
      <c r="E17" s="62">
        <v>1</v>
      </c>
      <c r="F17" s="62" t="s">
        <v>22</v>
      </c>
      <c r="G17" s="62" t="s">
        <v>27</v>
      </c>
      <c r="H17" s="62" t="s">
        <v>24</v>
      </c>
      <c r="I17" s="100" t="s">
        <v>25</v>
      </c>
    </row>
    <row r="18" spans="1:17" s="101" customFormat="1" x14ac:dyDescent="0.2">
      <c r="A18" s="99">
        <v>10</v>
      </c>
      <c r="B18" s="62">
        <v>27</v>
      </c>
      <c r="C18" s="63">
        <v>5.8520547945205497</v>
      </c>
      <c r="D18" s="63">
        <v>55.48</v>
      </c>
      <c r="E18" s="62">
        <v>2</v>
      </c>
      <c r="F18" s="62" t="s">
        <v>31</v>
      </c>
      <c r="G18" s="62" t="s">
        <v>23</v>
      </c>
      <c r="H18" s="62" t="s">
        <v>30</v>
      </c>
      <c r="I18" s="100" t="s">
        <v>32</v>
      </c>
    </row>
    <row r="19" spans="1:17" s="101" customFormat="1" x14ac:dyDescent="0.2">
      <c r="A19" s="99">
        <v>11</v>
      </c>
      <c r="B19" s="62">
        <v>28</v>
      </c>
      <c r="C19" s="63">
        <v>3.1452054794520499</v>
      </c>
      <c r="D19" s="63">
        <v>51.42</v>
      </c>
      <c r="E19" s="62">
        <v>1</v>
      </c>
      <c r="F19" s="62" t="s">
        <v>22</v>
      </c>
      <c r="G19" s="62" t="s">
        <v>27</v>
      </c>
      <c r="H19" s="62" t="s">
        <v>24</v>
      </c>
      <c r="I19" s="100" t="s">
        <v>25</v>
      </c>
    </row>
    <row r="20" spans="1:17" s="101" customFormat="1" x14ac:dyDescent="0.2">
      <c r="A20" s="99">
        <v>12</v>
      </c>
      <c r="B20" s="62">
        <v>29</v>
      </c>
      <c r="C20" s="63">
        <v>3.1068493150684899</v>
      </c>
      <c r="D20" s="63">
        <v>80.09</v>
      </c>
      <c r="E20" s="62">
        <v>1</v>
      </c>
      <c r="F20" s="62" t="s">
        <v>22</v>
      </c>
      <c r="G20" s="62" t="s">
        <v>27</v>
      </c>
      <c r="H20" s="62" t="s">
        <v>24</v>
      </c>
      <c r="I20" s="100" t="s">
        <v>25</v>
      </c>
    </row>
    <row r="21" spans="1:17" s="101" customFormat="1" x14ac:dyDescent="0.2">
      <c r="A21" s="99">
        <v>13</v>
      </c>
      <c r="B21" s="62">
        <v>30</v>
      </c>
      <c r="C21" s="63">
        <v>2.7616438356164399</v>
      </c>
      <c r="D21" s="63">
        <v>44.7</v>
      </c>
      <c r="E21" s="62">
        <v>1</v>
      </c>
      <c r="F21" s="62" t="s">
        <v>33</v>
      </c>
      <c r="G21" s="62" t="s">
        <v>23</v>
      </c>
      <c r="H21" s="62" t="s">
        <v>24</v>
      </c>
      <c r="I21" s="100" t="s">
        <v>25</v>
      </c>
    </row>
    <row r="22" spans="1:17" s="101" customFormat="1" x14ac:dyDescent="0.2">
      <c r="A22" s="99">
        <v>14</v>
      </c>
      <c r="B22" s="62">
        <v>31</v>
      </c>
      <c r="C22" s="63">
        <v>2.7561643835616398</v>
      </c>
      <c r="D22" s="63">
        <v>26.34</v>
      </c>
      <c r="E22" s="62">
        <v>1</v>
      </c>
      <c r="F22" s="62" t="s">
        <v>33</v>
      </c>
      <c r="G22" s="62" t="s">
        <v>23</v>
      </c>
      <c r="H22" s="62" t="s">
        <v>24</v>
      </c>
      <c r="I22" s="100" t="s">
        <v>25</v>
      </c>
    </row>
    <row r="23" spans="1:17" s="101" customFormat="1" x14ac:dyDescent="0.2">
      <c r="A23" s="102">
        <v>15</v>
      </c>
      <c r="B23" s="103">
        <v>32</v>
      </c>
      <c r="C23" s="104">
        <v>2.8054794520547901</v>
      </c>
      <c r="D23" s="104">
        <v>11.03</v>
      </c>
      <c r="E23" s="103">
        <v>1</v>
      </c>
      <c r="F23" s="103" t="s">
        <v>33</v>
      </c>
      <c r="G23" s="103" t="s">
        <v>23</v>
      </c>
      <c r="H23" s="103" t="s">
        <v>24</v>
      </c>
      <c r="I23" s="105" t="s">
        <v>25</v>
      </c>
    </row>
    <row r="25" spans="1:17" ht="38.25" x14ac:dyDescent="0.2">
      <c r="A25" s="57" t="s">
        <v>42</v>
      </c>
      <c r="B25" s="76" t="s">
        <v>11</v>
      </c>
      <c r="C25" s="77" t="s">
        <v>82</v>
      </c>
      <c r="D25" s="76" t="s">
        <v>13</v>
      </c>
      <c r="E25" s="60" t="s">
        <v>16</v>
      </c>
      <c r="F25" s="60" t="s">
        <v>18</v>
      </c>
      <c r="G25" s="60" t="s">
        <v>15</v>
      </c>
      <c r="H25" s="60" t="s">
        <v>17</v>
      </c>
      <c r="I25" s="64" t="s">
        <v>87</v>
      </c>
      <c r="J25" s="60" t="s">
        <v>19</v>
      </c>
      <c r="K25" s="64" t="s">
        <v>20</v>
      </c>
      <c r="L25" s="66"/>
      <c r="M25" s="65" t="s">
        <v>101</v>
      </c>
      <c r="N25" s="58" t="s">
        <v>100</v>
      </c>
      <c r="O25" s="58" t="s">
        <v>98</v>
      </c>
      <c r="P25" s="58" t="s">
        <v>99</v>
      </c>
      <c r="Q25" s="59" t="s">
        <v>102</v>
      </c>
    </row>
    <row r="26" spans="1:17" x14ac:dyDescent="0.2">
      <c r="A26" s="35">
        <v>1</v>
      </c>
      <c r="B26" s="173" t="s">
        <v>79</v>
      </c>
      <c r="C26" s="172" t="s">
        <v>89</v>
      </c>
      <c r="D26" s="61">
        <v>11</v>
      </c>
      <c r="E26" s="61">
        <v>1</v>
      </c>
      <c r="F26" s="62" t="s">
        <v>23</v>
      </c>
      <c r="G26" s="63">
        <v>26.06</v>
      </c>
      <c r="H26" s="55" t="s">
        <v>90</v>
      </c>
      <c r="I26" s="61">
        <f>(Q26*G26)</f>
        <v>43872.053872053875</v>
      </c>
      <c r="J26" s="55" t="s">
        <v>24</v>
      </c>
      <c r="K26" s="14" t="s">
        <v>83</v>
      </c>
      <c r="L26" s="67"/>
      <c r="M26" s="82">
        <v>1</v>
      </c>
      <c r="N26" s="22">
        <v>10000</v>
      </c>
      <c r="O26" s="22">
        <f>(3.3*1.8)</f>
        <v>5.9399999999999995</v>
      </c>
      <c r="P26" s="18" t="s">
        <v>97</v>
      </c>
      <c r="Q26" s="83">
        <f>(N26/O26)</f>
        <v>1683.5016835016836</v>
      </c>
    </row>
    <row r="27" spans="1:17" x14ac:dyDescent="0.2">
      <c r="A27" s="35">
        <v>2</v>
      </c>
      <c r="B27" s="168"/>
      <c r="C27" s="167"/>
      <c r="D27" s="61">
        <v>30</v>
      </c>
      <c r="E27" s="61">
        <v>1</v>
      </c>
      <c r="F27" s="62" t="s">
        <v>23</v>
      </c>
      <c r="G27" s="63">
        <v>44.7</v>
      </c>
      <c r="H27" s="55" t="s">
        <v>91</v>
      </c>
      <c r="I27" s="61">
        <f>(G27*Q27)</f>
        <v>61570.247933884297</v>
      </c>
      <c r="J27" s="55" t="s">
        <v>24</v>
      </c>
      <c r="K27" s="14" t="s">
        <v>83</v>
      </c>
      <c r="L27" s="67"/>
      <c r="M27" s="82"/>
      <c r="N27" s="22"/>
      <c r="O27" s="22">
        <f>(3.3*2.2)</f>
        <v>7.26</v>
      </c>
      <c r="P27" s="18" t="s">
        <v>95</v>
      </c>
      <c r="Q27" s="83">
        <f>(N26/O27)</f>
        <v>1377.4104683195592</v>
      </c>
    </row>
    <row r="28" spans="1:17" x14ac:dyDescent="0.2">
      <c r="A28" s="35">
        <v>3</v>
      </c>
      <c r="B28" s="168"/>
      <c r="C28" s="167"/>
      <c r="D28" s="61">
        <v>31</v>
      </c>
      <c r="E28" s="61">
        <v>1</v>
      </c>
      <c r="F28" s="62" t="s">
        <v>23</v>
      </c>
      <c r="G28" s="63">
        <v>26.34</v>
      </c>
      <c r="H28" s="55" t="s">
        <v>91</v>
      </c>
      <c r="I28" s="61">
        <f>(G28*Q27)</f>
        <v>36280.991735537187</v>
      </c>
      <c r="J28" s="55" t="s">
        <v>24</v>
      </c>
      <c r="K28" s="14" t="s">
        <v>83</v>
      </c>
      <c r="L28" s="67"/>
      <c r="M28" s="82"/>
      <c r="N28" s="22"/>
      <c r="O28" s="22">
        <f>(3*2)</f>
        <v>6</v>
      </c>
      <c r="P28" s="18" t="s">
        <v>96</v>
      </c>
      <c r="Q28" s="83">
        <f>(N26/O28)</f>
        <v>1666.6666666666667</v>
      </c>
    </row>
    <row r="29" spans="1:17" x14ac:dyDescent="0.2">
      <c r="A29" s="35">
        <v>4</v>
      </c>
      <c r="B29" s="168"/>
      <c r="C29" s="167"/>
      <c r="D29" s="61">
        <v>32</v>
      </c>
      <c r="E29" s="61">
        <v>1</v>
      </c>
      <c r="F29" s="62" t="s">
        <v>23</v>
      </c>
      <c r="G29" s="63">
        <v>11.03</v>
      </c>
      <c r="H29" s="55" t="s">
        <v>91</v>
      </c>
      <c r="I29" s="61">
        <f>(G29*Q27)</f>
        <v>15192.837465564737</v>
      </c>
      <c r="J29" s="55" t="s">
        <v>24</v>
      </c>
      <c r="K29" s="14" t="s">
        <v>83</v>
      </c>
      <c r="L29" s="67"/>
      <c r="M29" s="82"/>
      <c r="N29" s="22"/>
      <c r="O29" s="22">
        <f>(3*1.8)</f>
        <v>5.4</v>
      </c>
      <c r="P29" s="18" t="s">
        <v>94</v>
      </c>
      <c r="Q29" s="83">
        <f>(N26/O29)</f>
        <v>1851.8518518518517</v>
      </c>
    </row>
    <row r="30" spans="1:17" x14ac:dyDescent="0.2">
      <c r="A30" s="27"/>
      <c r="B30" s="70" t="s">
        <v>84</v>
      </c>
      <c r="C30" s="71"/>
      <c r="D30" s="71"/>
      <c r="E30" s="71"/>
      <c r="F30" s="71"/>
      <c r="G30" s="72">
        <f>SUM(G26:G29)</f>
        <v>108.13000000000001</v>
      </c>
      <c r="H30" s="71"/>
      <c r="I30" s="81">
        <f>SUM(I26:I29)</f>
        <v>156916.13100704012</v>
      </c>
      <c r="J30" s="71"/>
      <c r="K30" s="73"/>
      <c r="L30" s="69"/>
      <c r="M30" s="84"/>
      <c r="N30" s="20"/>
      <c r="O30" s="20">
        <f>(3.3*1.8)</f>
        <v>5.9399999999999995</v>
      </c>
      <c r="P30" s="11" t="s">
        <v>97</v>
      </c>
      <c r="Q30" s="85">
        <f>(N26/O30)</f>
        <v>1683.5016835016836</v>
      </c>
    </row>
    <row r="31" spans="1:17" x14ac:dyDescent="0.2">
      <c r="A31" s="35">
        <v>5</v>
      </c>
      <c r="B31" s="168" t="s">
        <v>80</v>
      </c>
      <c r="C31" s="167" t="s">
        <v>85</v>
      </c>
      <c r="D31" s="61">
        <v>15</v>
      </c>
      <c r="E31" s="61">
        <v>2</v>
      </c>
      <c r="F31" s="62" t="s">
        <v>23</v>
      </c>
      <c r="G31" s="33">
        <v>23.4</v>
      </c>
      <c r="H31" s="55" t="s">
        <v>92</v>
      </c>
      <c r="I31" s="55">
        <f>(G31*Q28)</f>
        <v>39000</v>
      </c>
      <c r="J31" s="55" t="s">
        <v>30</v>
      </c>
      <c r="K31" s="14" t="s">
        <v>83</v>
      </c>
      <c r="L31" s="67"/>
      <c r="M31" s="68"/>
    </row>
    <row r="32" spans="1:17" x14ac:dyDescent="0.2">
      <c r="A32" s="35">
        <v>6</v>
      </c>
      <c r="B32" s="168"/>
      <c r="C32" s="167"/>
      <c r="D32" s="61">
        <v>16</v>
      </c>
      <c r="E32" s="61">
        <v>2</v>
      </c>
      <c r="F32" s="62" t="s">
        <v>23</v>
      </c>
      <c r="G32" s="33">
        <v>28.05</v>
      </c>
      <c r="H32" s="55" t="s">
        <v>92</v>
      </c>
      <c r="I32" s="55">
        <f>(G32*Q28)</f>
        <v>46750</v>
      </c>
      <c r="J32" s="55" t="s">
        <v>30</v>
      </c>
      <c r="K32" s="14" t="s">
        <v>83</v>
      </c>
      <c r="L32" s="67"/>
      <c r="M32" s="68"/>
    </row>
    <row r="33" spans="1:13" x14ac:dyDescent="0.2">
      <c r="A33" s="35">
        <v>7</v>
      </c>
      <c r="B33" s="168"/>
      <c r="C33" s="167"/>
      <c r="D33" s="61">
        <v>17</v>
      </c>
      <c r="E33" s="61">
        <v>2</v>
      </c>
      <c r="F33" s="62" t="s">
        <v>23</v>
      </c>
      <c r="G33" s="33">
        <v>36.549999999999997</v>
      </c>
      <c r="H33" s="55" t="s">
        <v>92</v>
      </c>
      <c r="I33" s="61">
        <f>(G33*Q28)</f>
        <v>60916.666666666664</v>
      </c>
      <c r="J33" s="55" t="s">
        <v>30</v>
      </c>
      <c r="K33" s="14" t="s">
        <v>83</v>
      </c>
      <c r="L33" s="67"/>
      <c r="M33" s="68"/>
    </row>
    <row r="34" spans="1:13" x14ac:dyDescent="0.2">
      <c r="A34" s="35">
        <v>8</v>
      </c>
      <c r="B34" s="168"/>
      <c r="C34" s="167"/>
      <c r="D34" s="61">
        <v>18</v>
      </c>
      <c r="E34" s="61">
        <v>2</v>
      </c>
      <c r="F34" s="62" t="s">
        <v>23</v>
      </c>
      <c r="G34" s="33">
        <v>54.47</v>
      </c>
      <c r="H34" s="55" t="s">
        <v>92</v>
      </c>
      <c r="I34" s="61">
        <f>(G34*Q28)</f>
        <v>90783.333333333328</v>
      </c>
      <c r="J34" s="55" t="s">
        <v>30</v>
      </c>
      <c r="K34" s="14" t="s">
        <v>83</v>
      </c>
      <c r="L34" s="67"/>
      <c r="M34" s="68"/>
    </row>
    <row r="35" spans="1:13" x14ac:dyDescent="0.2">
      <c r="A35" s="35">
        <v>9</v>
      </c>
      <c r="B35" s="168"/>
      <c r="C35" s="167"/>
      <c r="D35" s="61">
        <v>19</v>
      </c>
      <c r="E35" s="61">
        <v>2</v>
      </c>
      <c r="F35" s="62" t="s">
        <v>23</v>
      </c>
      <c r="G35" s="33">
        <v>46.87</v>
      </c>
      <c r="H35" s="55" t="s">
        <v>92</v>
      </c>
      <c r="I35" s="61">
        <f>(G35*Q28)</f>
        <v>78116.666666666672</v>
      </c>
      <c r="J35" s="55" t="s">
        <v>30</v>
      </c>
      <c r="K35" s="14" t="s">
        <v>83</v>
      </c>
      <c r="L35" s="67"/>
      <c r="M35" s="68"/>
    </row>
    <row r="36" spans="1:13" x14ac:dyDescent="0.2">
      <c r="A36" s="35">
        <v>10</v>
      </c>
      <c r="B36" s="168"/>
      <c r="C36" s="167"/>
      <c r="D36" s="61">
        <v>27</v>
      </c>
      <c r="E36" s="61">
        <v>2</v>
      </c>
      <c r="F36" s="62" t="s">
        <v>23</v>
      </c>
      <c r="G36" s="33">
        <v>55.48</v>
      </c>
      <c r="H36" s="55" t="s">
        <v>93</v>
      </c>
      <c r="I36" s="61">
        <f>(G36*Q29)</f>
        <v>102740.74074074073</v>
      </c>
      <c r="J36" s="55" t="s">
        <v>30</v>
      </c>
      <c r="K36" s="14" t="s">
        <v>86</v>
      </c>
      <c r="L36" s="67"/>
      <c r="M36" s="68"/>
    </row>
    <row r="37" spans="1:13" x14ac:dyDescent="0.2">
      <c r="A37" s="27"/>
      <c r="B37" s="78" t="s">
        <v>84</v>
      </c>
      <c r="C37" s="71"/>
      <c r="D37" s="71"/>
      <c r="E37" s="71"/>
      <c r="F37" s="74"/>
      <c r="G37" s="75">
        <f>SUM(G31:G36)</f>
        <v>244.82</v>
      </c>
      <c r="H37" s="71"/>
      <c r="I37" s="81">
        <f>SUM(I31:I36)</f>
        <v>418307.40740740742</v>
      </c>
      <c r="J37" s="71"/>
      <c r="K37" s="73"/>
      <c r="L37" s="69"/>
      <c r="M37" s="69"/>
    </row>
    <row r="38" spans="1:13" x14ac:dyDescent="0.2">
      <c r="A38" s="36">
        <v>11</v>
      </c>
      <c r="B38" s="168" t="s">
        <v>81</v>
      </c>
      <c r="C38" s="167" t="s">
        <v>88</v>
      </c>
      <c r="D38" s="61">
        <v>12</v>
      </c>
      <c r="E38" s="61">
        <v>1</v>
      </c>
      <c r="F38" s="8" t="s">
        <v>27</v>
      </c>
      <c r="G38" s="33">
        <v>22.41</v>
      </c>
      <c r="H38" s="55" t="s">
        <v>90</v>
      </c>
      <c r="I38" s="86">
        <f>(G38*Q30)</f>
        <v>37727.272727272728</v>
      </c>
      <c r="J38" s="55" t="s">
        <v>24</v>
      </c>
      <c r="K38" s="80" t="s">
        <v>83</v>
      </c>
      <c r="L38" s="69"/>
      <c r="M38" s="69"/>
    </row>
    <row r="39" spans="1:13" x14ac:dyDescent="0.2">
      <c r="A39" s="36">
        <v>12</v>
      </c>
      <c r="B39" s="168"/>
      <c r="C39" s="167"/>
      <c r="D39" s="61">
        <v>13</v>
      </c>
      <c r="E39" s="61">
        <v>1</v>
      </c>
      <c r="F39" s="8" t="s">
        <v>27</v>
      </c>
      <c r="G39" s="33">
        <v>31.05</v>
      </c>
      <c r="H39" s="55" t="s">
        <v>90</v>
      </c>
      <c r="I39" s="86">
        <f>(G39*Q30)</f>
        <v>52272.727272727279</v>
      </c>
      <c r="J39" s="55" t="s">
        <v>24</v>
      </c>
      <c r="K39" s="14" t="s">
        <v>83</v>
      </c>
      <c r="L39" s="69"/>
      <c r="M39" s="69"/>
    </row>
    <row r="40" spans="1:13" x14ac:dyDescent="0.2">
      <c r="A40" s="36">
        <v>13</v>
      </c>
      <c r="B40" s="168"/>
      <c r="C40" s="167"/>
      <c r="D40" s="61">
        <v>26</v>
      </c>
      <c r="E40" s="61">
        <v>1</v>
      </c>
      <c r="F40" s="8" t="s">
        <v>27</v>
      </c>
      <c r="G40" s="33">
        <v>27.87</v>
      </c>
      <c r="H40" s="55" t="s">
        <v>90</v>
      </c>
      <c r="I40" s="86">
        <f>(G40*Q30)</f>
        <v>46919.191919191922</v>
      </c>
      <c r="J40" s="55" t="s">
        <v>24</v>
      </c>
      <c r="K40" s="14" t="s">
        <v>83</v>
      </c>
      <c r="L40" s="69"/>
      <c r="M40" s="69"/>
    </row>
    <row r="41" spans="1:13" x14ac:dyDescent="0.2">
      <c r="A41" s="36">
        <v>14</v>
      </c>
      <c r="B41" s="168"/>
      <c r="C41" s="167"/>
      <c r="D41" s="18">
        <v>28</v>
      </c>
      <c r="E41" s="61">
        <v>1</v>
      </c>
      <c r="F41" s="8" t="s">
        <v>27</v>
      </c>
      <c r="G41" s="33">
        <v>51.42</v>
      </c>
      <c r="H41" s="55" t="s">
        <v>90</v>
      </c>
      <c r="I41" s="86">
        <f>(G41*Q30)</f>
        <v>86565.65656565658</v>
      </c>
      <c r="J41" s="55" t="s">
        <v>24</v>
      </c>
      <c r="K41" s="14" t="s">
        <v>83</v>
      </c>
      <c r="L41" s="69"/>
      <c r="M41" s="69"/>
    </row>
    <row r="42" spans="1:13" x14ac:dyDescent="0.2">
      <c r="A42" s="37">
        <v>15</v>
      </c>
      <c r="B42" s="169"/>
      <c r="C42" s="170"/>
      <c r="D42" s="79">
        <v>29</v>
      </c>
      <c r="E42" s="11">
        <v>1</v>
      </c>
      <c r="F42" s="8" t="s">
        <v>27</v>
      </c>
      <c r="G42" s="11">
        <v>80.09</v>
      </c>
      <c r="H42" s="11" t="s">
        <v>90</v>
      </c>
      <c r="I42" s="87">
        <f>(G42*Q30)</f>
        <v>134831.64983164985</v>
      </c>
      <c r="J42" s="11" t="s">
        <v>24</v>
      </c>
      <c r="K42" s="15" t="s">
        <v>83</v>
      </c>
    </row>
    <row r="43" spans="1:13" x14ac:dyDescent="0.2">
      <c r="A43" s="27"/>
      <c r="B43" s="70" t="s">
        <v>84</v>
      </c>
      <c r="C43" s="71"/>
      <c r="D43" s="71"/>
      <c r="E43" s="71"/>
      <c r="F43" s="71"/>
      <c r="G43" s="75">
        <f>SUM(G38:G42)</f>
        <v>212.84</v>
      </c>
      <c r="H43" s="71"/>
      <c r="I43" s="81">
        <f>SUM(I38:I42)</f>
        <v>358316.49831649836</v>
      </c>
      <c r="J43" s="71"/>
      <c r="K43" s="73"/>
    </row>
  </sheetData>
  <mergeCells count="8">
    <mergeCell ref="C31:C36"/>
    <mergeCell ref="B31:B36"/>
    <mergeCell ref="B38:B42"/>
    <mergeCell ref="C38:C42"/>
    <mergeCell ref="B3:K3"/>
    <mergeCell ref="B4:K5"/>
    <mergeCell ref="C26:C29"/>
    <mergeCell ref="B26:B2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selection activeCell="N36" sqref="N36"/>
    </sheetView>
  </sheetViews>
  <sheetFormatPr defaultRowHeight="12.75" x14ac:dyDescent="0.2"/>
  <cols>
    <col min="3" max="3" width="10.7109375" customWidth="1"/>
    <col min="4" max="4" width="10.28515625" customWidth="1"/>
    <col min="8" max="8" width="38.42578125" customWidth="1"/>
    <col min="9" max="9" width="9.140625" customWidth="1"/>
    <col min="10" max="10" width="8.85546875" customWidth="1"/>
    <col min="12" max="12" width="10.42578125" customWidth="1"/>
    <col min="13" max="13" width="11" customWidth="1"/>
    <col min="14" max="14" width="12.28515625" customWidth="1"/>
    <col min="15" max="15" width="10.5703125" customWidth="1"/>
    <col min="16" max="16" width="11.28515625" customWidth="1"/>
    <col min="17" max="17" width="9.85546875" customWidth="1"/>
    <col min="18" max="18" width="9.5703125" bestFit="1" customWidth="1"/>
  </cols>
  <sheetData>
    <row r="1" spans="1:18" ht="18.75" x14ac:dyDescent="0.2">
      <c r="A1" s="1" t="s">
        <v>2</v>
      </c>
    </row>
    <row r="3" spans="1:18" x14ac:dyDescent="0.2">
      <c r="A3" s="130" t="s">
        <v>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8" ht="12.7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8" x14ac:dyDescent="0.2">
      <c r="A5" s="171" t="s">
        <v>8</v>
      </c>
      <c r="B5" s="171"/>
      <c r="C5" s="171"/>
      <c r="D5" s="171"/>
      <c r="E5" s="171"/>
      <c r="F5" s="171"/>
      <c r="G5" s="171"/>
      <c r="H5" s="171"/>
    </row>
    <row r="7" spans="1:18" ht="51" x14ac:dyDescent="0.2">
      <c r="B7" s="5" t="s">
        <v>13</v>
      </c>
      <c r="C7" s="4" t="s">
        <v>12</v>
      </c>
      <c r="D7" s="6" t="s">
        <v>21</v>
      </c>
      <c r="E7" s="17"/>
      <c r="F7" s="95" t="s">
        <v>11</v>
      </c>
      <c r="G7" s="95" t="s">
        <v>13</v>
      </c>
      <c r="H7" s="96" t="s">
        <v>103</v>
      </c>
      <c r="I7" s="97" t="s">
        <v>119</v>
      </c>
      <c r="J7" s="97" t="s">
        <v>120</v>
      </c>
      <c r="K7" s="97" t="s">
        <v>121</v>
      </c>
      <c r="L7" s="97" t="s">
        <v>122</v>
      </c>
      <c r="M7" s="77" t="s">
        <v>123</v>
      </c>
      <c r="N7" s="77" t="s">
        <v>139</v>
      </c>
      <c r="O7" s="77" t="s">
        <v>136</v>
      </c>
      <c r="P7" s="77" t="s">
        <v>137</v>
      </c>
      <c r="Q7" s="77" t="s">
        <v>124</v>
      </c>
      <c r="R7" s="64" t="s">
        <v>138</v>
      </c>
    </row>
    <row r="8" spans="1:18" x14ac:dyDescent="0.2">
      <c r="B8" s="10"/>
      <c r="C8" s="11"/>
      <c r="D8" s="12" t="s">
        <v>26</v>
      </c>
      <c r="E8" s="18"/>
      <c r="F8" s="174" t="s">
        <v>79</v>
      </c>
      <c r="G8" s="68">
        <v>11</v>
      </c>
      <c r="H8" t="s">
        <v>104</v>
      </c>
      <c r="I8" s="90">
        <v>2</v>
      </c>
      <c r="J8" s="90">
        <f>(540*I8)</f>
        <v>1080</v>
      </c>
      <c r="K8" s="90">
        <f>(J8/10000)</f>
        <v>0.108</v>
      </c>
      <c r="L8">
        <f>(D9+D10)</f>
        <v>339</v>
      </c>
      <c r="R8" s="32"/>
    </row>
    <row r="9" spans="1:18" x14ac:dyDescent="0.2">
      <c r="B9" s="173">
        <v>11</v>
      </c>
      <c r="C9" s="8">
        <v>312</v>
      </c>
      <c r="D9" s="14">
        <v>179</v>
      </c>
      <c r="E9" s="18"/>
      <c r="F9" s="174"/>
      <c r="G9" s="18">
        <v>30</v>
      </c>
      <c r="H9" t="s">
        <v>105</v>
      </c>
      <c r="I9" s="90">
        <v>6</v>
      </c>
      <c r="J9" s="90">
        <f t="shared" ref="J9:J24" si="0">(540*I9)</f>
        <v>3240</v>
      </c>
      <c r="K9" s="90">
        <f t="shared" ref="K9:K24" si="1">(J9/10000)</f>
        <v>0.32400000000000001</v>
      </c>
      <c r="L9">
        <f>(D65+D66+D67+D68+D69+D70)</f>
        <v>799</v>
      </c>
      <c r="O9" s="181" t="s">
        <v>141</v>
      </c>
      <c r="R9" s="26"/>
    </row>
    <row r="10" spans="1:18" x14ac:dyDescent="0.2">
      <c r="B10" s="169"/>
      <c r="C10" s="11">
        <v>328</v>
      </c>
      <c r="D10" s="15">
        <v>160</v>
      </c>
      <c r="E10" s="18"/>
      <c r="F10" s="174"/>
      <c r="G10" s="18">
        <v>31</v>
      </c>
      <c r="H10" t="s">
        <v>106</v>
      </c>
      <c r="I10" s="90">
        <v>4</v>
      </c>
      <c r="J10" s="90">
        <f t="shared" si="0"/>
        <v>2160</v>
      </c>
      <c r="K10" s="90">
        <f t="shared" si="1"/>
        <v>0.216</v>
      </c>
      <c r="L10">
        <f>(D71+D72+D73+D74)</f>
        <v>528</v>
      </c>
      <c r="O10" s="175">
        <f>_xlfn.VAR.P(L8:L11)</f>
        <v>40230.6875</v>
      </c>
      <c r="R10" s="26"/>
    </row>
    <row r="11" spans="1:18" ht="12" customHeight="1" x14ac:dyDescent="0.2">
      <c r="B11" s="88">
        <v>12</v>
      </c>
      <c r="C11" s="11">
        <v>322</v>
      </c>
      <c r="D11" s="15">
        <v>178</v>
      </c>
      <c r="E11" s="18"/>
      <c r="F11" s="174"/>
      <c r="G11" s="18">
        <v>32</v>
      </c>
      <c r="H11" t="s">
        <v>107</v>
      </c>
      <c r="I11" s="90">
        <v>2</v>
      </c>
      <c r="J11" s="90">
        <f t="shared" si="0"/>
        <v>1080</v>
      </c>
      <c r="K11" s="90">
        <f t="shared" si="1"/>
        <v>0.108</v>
      </c>
      <c r="L11">
        <f>(D75+D76)</f>
        <v>287</v>
      </c>
      <c r="O11" s="181" t="s">
        <v>140</v>
      </c>
      <c r="R11" s="26"/>
    </row>
    <row r="12" spans="1:18" x14ac:dyDescent="0.2">
      <c r="B12" s="173">
        <v>13</v>
      </c>
      <c r="C12" s="8">
        <v>310</v>
      </c>
      <c r="D12" s="14">
        <v>159</v>
      </c>
      <c r="E12" s="18"/>
      <c r="F12" s="56" t="s">
        <v>84</v>
      </c>
      <c r="G12" s="74"/>
      <c r="H12" s="71"/>
      <c r="I12" s="92">
        <f>SUM(I8:I11)</f>
        <v>14</v>
      </c>
      <c r="J12" s="91"/>
      <c r="K12" s="92">
        <f>SUM(K8:K11)</f>
        <v>0.75600000000000001</v>
      </c>
      <c r="L12" s="93">
        <f>SUM(L8:L11)</f>
        <v>1953</v>
      </c>
      <c r="M12" s="94">
        <f>(L12/I12)</f>
        <v>139.5</v>
      </c>
      <c r="N12" s="94"/>
      <c r="O12" s="93">
        <f>_xlfn.VAR.S(L8:L11)</f>
        <v>53640.916666666664</v>
      </c>
      <c r="P12" s="71"/>
      <c r="Q12" s="71"/>
      <c r="R12" s="73"/>
    </row>
    <row r="13" spans="1:18" x14ac:dyDescent="0.2">
      <c r="B13" s="168"/>
      <c r="C13" s="8">
        <v>313</v>
      </c>
      <c r="D13" s="14">
        <v>167</v>
      </c>
      <c r="E13" s="18"/>
      <c r="F13" s="168" t="s">
        <v>80</v>
      </c>
      <c r="G13" s="18">
        <v>15</v>
      </c>
      <c r="H13" t="s">
        <v>108</v>
      </c>
      <c r="I13" s="90">
        <v>3</v>
      </c>
      <c r="J13" s="90">
        <f t="shared" si="0"/>
        <v>1620</v>
      </c>
      <c r="K13" s="90">
        <f t="shared" si="1"/>
        <v>0.16200000000000001</v>
      </c>
      <c r="L13">
        <f>(D16+D17+D18)</f>
        <v>1005</v>
      </c>
      <c r="R13" s="26"/>
    </row>
    <row r="14" spans="1:18" x14ac:dyDescent="0.2">
      <c r="B14" s="168"/>
      <c r="C14" s="8">
        <v>314</v>
      </c>
      <c r="D14" s="14">
        <v>163</v>
      </c>
      <c r="E14" s="18"/>
      <c r="F14" s="168"/>
      <c r="G14" s="18">
        <v>16</v>
      </c>
      <c r="H14" t="s">
        <v>109</v>
      </c>
      <c r="I14" s="90">
        <v>4</v>
      </c>
      <c r="J14" s="90">
        <f t="shared" si="0"/>
        <v>2160</v>
      </c>
      <c r="K14" s="90">
        <f t="shared" si="1"/>
        <v>0.216</v>
      </c>
      <c r="L14">
        <f>(D19+D20+D21+D22)</f>
        <v>1275</v>
      </c>
      <c r="R14" s="26"/>
    </row>
    <row r="15" spans="1:18" x14ac:dyDescent="0.2">
      <c r="B15" s="169"/>
      <c r="C15" s="11">
        <v>315</v>
      </c>
      <c r="D15" s="15">
        <v>174</v>
      </c>
      <c r="E15" s="18"/>
      <c r="F15" s="168"/>
      <c r="G15" s="18">
        <v>17</v>
      </c>
      <c r="H15" t="s">
        <v>110</v>
      </c>
      <c r="I15" s="90">
        <v>5</v>
      </c>
      <c r="J15" s="90">
        <f t="shared" si="0"/>
        <v>2700</v>
      </c>
      <c r="K15" s="90">
        <f t="shared" si="1"/>
        <v>0.27</v>
      </c>
      <c r="L15">
        <f>(D23+D24+D25+D26+D27)</f>
        <v>1641</v>
      </c>
      <c r="R15" s="26"/>
    </row>
    <row r="16" spans="1:18" x14ac:dyDescent="0.2">
      <c r="B16" s="173">
        <v>15</v>
      </c>
      <c r="C16" s="8">
        <v>320</v>
      </c>
      <c r="D16" s="14">
        <v>342</v>
      </c>
      <c r="E16" s="18"/>
      <c r="F16" s="168"/>
      <c r="G16" s="18">
        <v>18</v>
      </c>
      <c r="H16" t="s">
        <v>111</v>
      </c>
      <c r="I16" s="90">
        <v>6</v>
      </c>
      <c r="J16" s="90">
        <f t="shared" si="0"/>
        <v>3240</v>
      </c>
      <c r="K16" s="90">
        <f t="shared" si="1"/>
        <v>0.32400000000000001</v>
      </c>
      <c r="L16">
        <f>(D28+D29+D30+D31+D32+D33)</f>
        <v>1838</v>
      </c>
      <c r="O16" s="181" t="s">
        <v>141</v>
      </c>
      <c r="R16" s="26"/>
    </row>
    <row r="17" spans="2:18" x14ac:dyDescent="0.2">
      <c r="B17" s="168"/>
      <c r="C17" s="8">
        <v>325</v>
      </c>
      <c r="D17" s="14">
        <v>322</v>
      </c>
      <c r="E17" s="18"/>
      <c r="F17" s="168"/>
      <c r="G17" s="18">
        <v>19</v>
      </c>
      <c r="H17" t="s">
        <v>112</v>
      </c>
      <c r="I17" s="90">
        <v>7</v>
      </c>
      <c r="J17" s="90">
        <f t="shared" si="0"/>
        <v>3780</v>
      </c>
      <c r="K17" s="90">
        <f t="shared" si="1"/>
        <v>0.378</v>
      </c>
      <c r="L17">
        <f>(D34+D35+D36+D37+D38+D39+D40)</f>
        <v>2155</v>
      </c>
      <c r="O17" s="176">
        <f>_xlfn.VAR.P(L13:L18)</f>
        <v>137884.13888888888</v>
      </c>
      <c r="R17" s="26"/>
    </row>
    <row r="18" spans="2:18" x14ac:dyDescent="0.2">
      <c r="B18" s="169"/>
      <c r="C18" s="11">
        <v>327</v>
      </c>
      <c r="D18" s="15">
        <v>341</v>
      </c>
      <c r="E18" s="18"/>
      <c r="F18" s="168"/>
      <c r="G18" s="18">
        <v>27</v>
      </c>
      <c r="H18" t="s">
        <v>113</v>
      </c>
      <c r="I18" s="90">
        <v>4</v>
      </c>
      <c r="J18" s="90">
        <f t="shared" si="0"/>
        <v>2160</v>
      </c>
      <c r="K18" s="90">
        <f t="shared" si="1"/>
        <v>0.216</v>
      </c>
      <c r="L18">
        <f>(D45+D46+D47+D48)</f>
        <v>1525</v>
      </c>
      <c r="O18" s="181" t="s">
        <v>140</v>
      </c>
      <c r="R18" s="26"/>
    </row>
    <row r="19" spans="2:18" x14ac:dyDescent="0.2">
      <c r="B19" s="173">
        <v>16</v>
      </c>
      <c r="C19" s="8">
        <v>329</v>
      </c>
      <c r="D19" s="14">
        <v>325</v>
      </c>
      <c r="E19" s="18"/>
      <c r="F19" s="56" t="s">
        <v>84</v>
      </c>
      <c r="G19" s="74"/>
      <c r="H19" s="71"/>
      <c r="I19" s="92">
        <f>SUM(I13:I18)</f>
        <v>29</v>
      </c>
      <c r="J19" s="91"/>
      <c r="K19" s="92">
        <f>SUM(K13:K18)</f>
        <v>1.5660000000000001</v>
      </c>
      <c r="L19" s="93">
        <f>SUM(L13:L18)</f>
        <v>9439</v>
      </c>
      <c r="M19" s="98">
        <f>(L19/I19)</f>
        <v>325.48275862068965</v>
      </c>
      <c r="N19" s="98"/>
      <c r="O19" s="93">
        <f>_xlfn.VAR.S(L13:L18)</f>
        <v>165460.96666666679</v>
      </c>
      <c r="P19" s="71"/>
      <c r="Q19" s="71"/>
      <c r="R19" s="73"/>
    </row>
    <row r="20" spans="2:18" x14ac:dyDescent="0.2">
      <c r="B20" s="168"/>
      <c r="C20" s="8">
        <v>333</v>
      </c>
      <c r="D20" s="14">
        <v>320</v>
      </c>
      <c r="E20" s="18"/>
      <c r="F20" s="168" t="s">
        <v>81</v>
      </c>
      <c r="G20" s="18">
        <v>12</v>
      </c>
      <c r="H20" s="89" t="s">
        <v>118</v>
      </c>
      <c r="I20" s="90">
        <v>1</v>
      </c>
      <c r="J20" s="90">
        <f t="shared" si="0"/>
        <v>540</v>
      </c>
      <c r="K20" s="90">
        <f t="shared" si="1"/>
        <v>5.3999999999999999E-2</v>
      </c>
      <c r="L20">
        <f>(D11)</f>
        <v>178</v>
      </c>
      <c r="R20" s="26"/>
    </row>
    <row r="21" spans="2:18" x14ac:dyDescent="0.2">
      <c r="B21" s="168"/>
      <c r="C21" s="8">
        <v>336</v>
      </c>
      <c r="D21" s="14">
        <v>306</v>
      </c>
      <c r="E21" s="18"/>
      <c r="F21" s="168"/>
      <c r="G21" s="18">
        <v>13</v>
      </c>
      <c r="H21" t="s">
        <v>114</v>
      </c>
      <c r="I21" s="90">
        <v>4</v>
      </c>
      <c r="J21" s="90">
        <f t="shared" si="0"/>
        <v>2160</v>
      </c>
      <c r="K21" s="90">
        <f t="shared" si="1"/>
        <v>0.216</v>
      </c>
      <c r="L21">
        <f>(D12+D13+D14+D15)</f>
        <v>663</v>
      </c>
      <c r="R21" s="26"/>
    </row>
    <row r="22" spans="2:18" x14ac:dyDescent="0.2">
      <c r="B22" s="169"/>
      <c r="C22" s="11">
        <v>337</v>
      </c>
      <c r="D22" s="15">
        <v>324</v>
      </c>
      <c r="E22" s="18"/>
      <c r="F22" s="168"/>
      <c r="G22" s="18">
        <v>26</v>
      </c>
      <c r="H22" t="s">
        <v>115</v>
      </c>
      <c r="I22" s="90">
        <v>4</v>
      </c>
      <c r="J22" s="90">
        <f t="shared" si="0"/>
        <v>2160</v>
      </c>
      <c r="K22" s="90">
        <f t="shared" si="1"/>
        <v>0.216</v>
      </c>
      <c r="L22">
        <f>(D41+D42+D43+D44)</f>
        <v>673</v>
      </c>
      <c r="O22" s="181" t="s">
        <v>141</v>
      </c>
      <c r="R22" s="26"/>
    </row>
    <row r="23" spans="2:18" x14ac:dyDescent="0.2">
      <c r="B23" s="173">
        <v>17</v>
      </c>
      <c r="C23" s="8">
        <v>331</v>
      </c>
      <c r="D23" s="14">
        <v>317</v>
      </c>
      <c r="E23" s="18"/>
      <c r="F23" s="168"/>
      <c r="G23" s="18">
        <v>28</v>
      </c>
      <c r="H23" t="s">
        <v>116</v>
      </c>
      <c r="I23" s="90">
        <v>6</v>
      </c>
      <c r="J23" s="90">
        <f t="shared" si="0"/>
        <v>3240</v>
      </c>
      <c r="K23" s="90">
        <f t="shared" si="1"/>
        <v>0.32400000000000001</v>
      </c>
      <c r="L23">
        <f>(D49+D50+D51+D52+D53+D54)</f>
        <v>994</v>
      </c>
      <c r="O23" s="176">
        <f>_xlfn.VAR.P(L20:L24)</f>
        <v>269721.03999999998</v>
      </c>
      <c r="R23" s="26"/>
    </row>
    <row r="24" spans="2:18" x14ac:dyDescent="0.2">
      <c r="B24" s="168"/>
      <c r="C24" s="8">
        <v>332</v>
      </c>
      <c r="D24" s="14">
        <v>342</v>
      </c>
      <c r="E24" s="18"/>
      <c r="F24" s="168"/>
      <c r="G24" s="18">
        <v>29</v>
      </c>
      <c r="H24" t="s">
        <v>117</v>
      </c>
      <c r="I24" s="90">
        <v>10</v>
      </c>
      <c r="J24" s="90">
        <f t="shared" si="0"/>
        <v>5400</v>
      </c>
      <c r="K24" s="90">
        <f t="shared" si="1"/>
        <v>0.54</v>
      </c>
      <c r="L24">
        <f>(D55+D56+D57+D58+D59+D60+D61+D62+D63+D64)</f>
        <v>1750</v>
      </c>
      <c r="O24" s="181" t="s">
        <v>140</v>
      </c>
      <c r="R24" s="26"/>
    </row>
    <row r="25" spans="2:18" x14ac:dyDescent="0.2">
      <c r="B25" s="168"/>
      <c r="C25" s="8">
        <v>334</v>
      </c>
      <c r="D25" s="14">
        <v>313</v>
      </c>
      <c r="E25" s="18"/>
      <c r="F25" s="46" t="s">
        <v>84</v>
      </c>
      <c r="G25" s="109"/>
      <c r="H25" s="123"/>
      <c r="I25" s="124">
        <f>SUM(I20:I24)</f>
        <v>25</v>
      </c>
      <c r="J25" s="125"/>
      <c r="K25" s="126">
        <f>SUM(K20:K24)</f>
        <v>1.35</v>
      </c>
      <c r="L25" s="127">
        <f>SUM(L20:L24)</f>
        <v>4258</v>
      </c>
      <c r="M25" s="128">
        <f>(L25/I25)</f>
        <v>170.32</v>
      </c>
      <c r="N25" s="128"/>
      <c r="O25" s="127">
        <f>_xlfn.VAR.S(L20:L24)</f>
        <v>337151.30000000005</v>
      </c>
      <c r="P25" s="123"/>
      <c r="Q25" s="123"/>
      <c r="R25" s="32"/>
    </row>
    <row r="26" spans="2:18" x14ac:dyDescent="0.2">
      <c r="B26" s="168"/>
      <c r="C26" s="8">
        <v>335</v>
      </c>
      <c r="D26" s="14">
        <v>369</v>
      </c>
      <c r="E26" s="18"/>
      <c r="F26" s="114"/>
      <c r="G26" s="115"/>
      <c r="H26" s="116" t="s">
        <v>135</v>
      </c>
      <c r="I26" s="117">
        <f>(I12+I19+I25)</f>
        <v>68</v>
      </c>
      <c r="J26" s="118"/>
      <c r="K26" s="119">
        <f>(K12+K19+K25)</f>
        <v>3.6720000000000002</v>
      </c>
      <c r="L26" s="117">
        <f>(L12+L19+L25)</f>
        <v>15650</v>
      </c>
      <c r="M26" s="119">
        <f>(M12+M19+M25)</f>
        <v>635.3027586206897</v>
      </c>
      <c r="N26" s="119">
        <f>(L26/I26)</f>
        <v>230.14705882352942</v>
      </c>
      <c r="O26" s="120">
        <f>(O12+O19+O25)</f>
        <v>556253.18333333347</v>
      </c>
      <c r="P26" s="121">
        <f>(O26)/(I26)^2</f>
        <v>120.2969687139562</v>
      </c>
      <c r="Q26" s="129">
        <f>(2)*SQRT(P26)</f>
        <v>21.93599495933168</v>
      </c>
      <c r="R26" s="122">
        <f>(Q26/N26)*100</f>
        <v>9.5312949344060964</v>
      </c>
    </row>
    <row r="27" spans="2:18" x14ac:dyDescent="0.2">
      <c r="B27" s="169"/>
      <c r="C27" s="11">
        <v>339</v>
      </c>
      <c r="D27" s="15">
        <v>300</v>
      </c>
      <c r="E27" s="18"/>
      <c r="F27" s="18"/>
      <c r="G27" s="18"/>
      <c r="O27" s="177">
        <f>(O10+O17+O23)</f>
        <v>447835.86638888885</v>
      </c>
      <c r="P27" s="178">
        <f>(O27)/(I26)^2</f>
        <v>96.850317125624755</v>
      </c>
      <c r="Q27" s="179">
        <f>(2)*SQRT(P27)</f>
        <v>19.682511742724785</v>
      </c>
      <c r="R27" s="180">
        <f>(Q27/N26)*100</f>
        <v>8.552145677350067</v>
      </c>
    </row>
    <row r="28" spans="2:18" x14ac:dyDescent="0.2">
      <c r="B28" s="173">
        <v>18</v>
      </c>
      <c r="C28" s="8">
        <v>338</v>
      </c>
      <c r="D28" s="14">
        <v>242</v>
      </c>
      <c r="E28" s="18"/>
      <c r="F28" s="18"/>
      <c r="G28" s="18"/>
    </row>
    <row r="29" spans="2:18" x14ac:dyDescent="0.2">
      <c r="B29" s="168"/>
      <c r="C29" s="8">
        <v>340</v>
      </c>
      <c r="D29" s="14">
        <v>349</v>
      </c>
      <c r="E29" s="18"/>
      <c r="F29" s="18"/>
      <c r="G29" s="18"/>
    </row>
    <row r="30" spans="2:18" x14ac:dyDescent="0.2">
      <c r="B30" s="168"/>
      <c r="C30" s="8">
        <v>342</v>
      </c>
      <c r="D30" s="14">
        <v>345</v>
      </c>
      <c r="E30" s="18"/>
      <c r="F30" s="18"/>
      <c r="G30" s="18"/>
    </row>
    <row r="31" spans="2:18" x14ac:dyDescent="0.2">
      <c r="B31" s="168"/>
      <c r="C31" s="8">
        <v>343</v>
      </c>
      <c r="D31" s="14">
        <v>281</v>
      </c>
      <c r="E31" s="18"/>
      <c r="F31" s="18"/>
      <c r="G31" s="18"/>
    </row>
    <row r="32" spans="2:18" x14ac:dyDescent="0.2">
      <c r="B32" s="168"/>
      <c r="C32" s="8">
        <v>347</v>
      </c>
      <c r="D32" s="14">
        <v>325</v>
      </c>
      <c r="E32" s="18"/>
      <c r="F32" s="18"/>
      <c r="G32" s="18"/>
    </row>
    <row r="33" spans="2:7" x14ac:dyDescent="0.2">
      <c r="B33" s="169"/>
      <c r="C33" s="11">
        <v>348</v>
      </c>
      <c r="D33" s="15">
        <v>296</v>
      </c>
      <c r="E33" s="18"/>
      <c r="F33" s="18"/>
      <c r="G33" s="18"/>
    </row>
    <row r="34" spans="2:7" x14ac:dyDescent="0.2">
      <c r="B34" s="173">
        <v>19</v>
      </c>
      <c r="C34" s="8">
        <v>341</v>
      </c>
      <c r="D34" s="14">
        <v>319</v>
      </c>
      <c r="E34" s="18"/>
      <c r="F34" s="18"/>
      <c r="G34" s="18"/>
    </row>
    <row r="35" spans="2:7" x14ac:dyDescent="0.2">
      <c r="B35" s="168"/>
      <c r="C35" s="8">
        <v>344</v>
      </c>
      <c r="D35" s="14">
        <v>320</v>
      </c>
      <c r="E35" s="18"/>
      <c r="F35" s="18"/>
      <c r="G35" s="18"/>
    </row>
    <row r="36" spans="2:7" x14ac:dyDescent="0.2">
      <c r="B36" s="168"/>
      <c r="C36" s="8">
        <v>345</v>
      </c>
      <c r="D36" s="14">
        <v>268</v>
      </c>
      <c r="E36" s="18"/>
      <c r="F36" s="18"/>
      <c r="G36" s="18"/>
    </row>
    <row r="37" spans="2:7" x14ac:dyDescent="0.2">
      <c r="B37" s="168"/>
      <c r="C37" s="8">
        <v>346</v>
      </c>
      <c r="D37" s="14">
        <v>254</v>
      </c>
      <c r="E37" s="18"/>
      <c r="F37" s="18"/>
      <c r="G37" s="18"/>
    </row>
    <row r="38" spans="2:7" x14ac:dyDescent="0.2">
      <c r="B38" s="168"/>
      <c r="C38" s="8">
        <v>349</v>
      </c>
      <c r="D38" s="14">
        <v>362</v>
      </c>
      <c r="E38" s="18"/>
      <c r="F38" s="18"/>
      <c r="G38" s="18"/>
    </row>
    <row r="39" spans="2:7" x14ac:dyDescent="0.2">
      <c r="B39" s="168"/>
      <c r="C39" s="8">
        <v>351</v>
      </c>
      <c r="D39" s="14">
        <v>335</v>
      </c>
      <c r="E39" s="18"/>
      <c r="F39" s="18"/>
      <c r="G39" s="18"/>
    </row>
    <row r="40" spans="2:7" x14ac:dyDescent="0.2">
      <c r="B40" s="169"/>
      <c r="C40" s="11">
        <v>352</v>
      </c>
      <c r="D40" s="15">
        <v>297</v>
      </c>
      <c r="E40" s="18"/>
      <c r="F40" s="18"/>
      <c r="G40" s="18"/>
    </row>
    <row r="41" spans="2:7" x14ac:dyDescent="0.2">
      <c r="B41" s="173">
        <v>26</v>
      </c>
      <c r="C41" s="8">
        <v>170</v>
      </c>
      <c r="D41" s="14">
        <v>167</v>
      </c>
      <c r="E41" s="22"/>
      <c r="G41" s="22"/>
    </row>
    <row r="42" spans="2:7" x14ac:dyDescent="0.2">
      <c r="B42" s="168"/>
      <c r="C42" s="8">
        <v>176</v>
      </c>
      <c r="D42" s="14">
        <v>174</v>
      </c>
      <c r="E42" s="22"/>
      <c r="G42" s="22"/>
    </row>
    <row r="43" spans="2:7" x14ac:dyDescent="0.2">
      <c r="B43" s="168"/>
      <c r="C43" s="8">
        <v>178</v>
      </c>
      <c r="D43" s="14">
        <v>167</v>
      </c>
      <c r="E43" s="22"/>
      <c r="G43" s="22"/>
    </row>
    <row r="44" spans="2:7" x14ac:dyDescent="0.2">
      <c r="B44" s="169"/>
      <c r="C44" s="11">
        <v>181</v>
      </c>
      <c r="D44" s="15">
        <v>165</v>
      </c>
      <c r="E44" s="22"/>
      <c r="F44" s="22"/>
      <c r="G44" s="22"/>
    </row>
    <row r="45" spans="2:7" x14ac:dyDescent="0.2">
      <c r="B45" s="173">
        <v>27</v>
      </c>
      <c r="C45" s="8">
        <v>103</v>
      </c>
      <c r="D45" s="14">
        <v>390</v>
      </c>
    </row>
    <row r="46" spans="2:7" x14ac:dyDescent="0.2">
      <c r="B46" s="168"/>
      <c r="C46" s="8">
        <v>188</v>
      </c>
      <c r="D46" s="14">
        <v>387</v>
      </c>
    </row>
    <row r="47" spans="2:7" x14ac:dyDescent="0.2">
      <c r="B47" s="168"/>
      <c r="C47" s="8">
        <v>309</v>
      </c>
      <c r="D47" s="14">
        <v>384</v>
      </c>
    </row>
    <row r="48" spans="2:7" x14ac:dyDescent="0.2">
      <c r="B48" s="169"/>
      <c r="C48" s="11">
        <v>380</v>
      </c>
      <c r="D48" s="15">
        <v>364</v>
      </c>
    </row>
    <row r="49" spans="2:4" x14ac:dyDescent="0.2">
      <c r="B49" s="173">
        <v>28</v>
      </c>
      <c r="C49" s="8">
        <v>106</v>
      </c>
      <c r="D49" s="14">
        <v>189</v>
      </c>
    </row>
    <row r="50" spans="2:4" x14ac:dyDescent="0.2">
      <c r="B50" s="168"/>
      <c r="C50" s="8">
        <v>113</v>
      </c>
      <c r="D50" s="14">
        <v>165</v>
      </c>
    </row>
    <row r="51" spans="2:4" x14ac:dyDescent="0.2">
      <c r="B51" s="168"/>
      <c r="C51" s="8">
        <v>138</v>
      </c>
      <c r="D51" s="14">
        <v>171</v>
      </c>
    </row>
    <row r="52" spans="2:4" x14ac:dyDescent="0.2">
      <c r="B52" s="168"/>
      <c r="C52" s="8">
        <v>145</v>
      </c>
      <c r="D52" s="14">
        <v>159</v>
      </c>
    </row>
    <row r="53" spans="2:4" x14ac:dyDescent="0.2">
      <c r="B53" s="168"/>
      <c r="C53" s="8">
        <v>209</v>
      </c>
      <c r="D53" s="14">
        <v>168</v>
      </c>
    </row>
    <row r="54" spans="2:4" x14ac:dyDescent="0.2">
      <c r="B54" s="169"/>
      <c r="C54" s="11">
        <v>311</v>
      </c>
      <c r="D54" s="15">
        <v>142</v>
      </c>
    </row>
    <row r="55" spans="2:4" x14ac:dyDescent="0.2">
      <c r="B55" s="173">
        <v>29</v>
      </c>
      <c r="C55" s="8">
        <v>112</v>
      </c>
      <c r="D55" s="14">
        <v>173</v>
      </c>
    </row>
    <row r="56" spans="2:4" x14ac:dyDescent="0.2">
      <c r="B56" s="168"/>
      <c r="C56" s="8">
        <v>115</v>
      </c>
      <c r="D56" s="14">
        <v>171</v>
      </c>
    </row>
    <row r="57" spans="2:4" x14ac:dyDescent="0.2">
      <c r="B57" s="168"/>
      <c r="C57" s="8">
        <v>118</v>
      </c>
      <c r="D57" s="14">
        <v>176</v>
      </c>
    </row>
    <row r="58" spans="2:4" x14ac:dyDescent="0.2">
      <c r="B58" s="168"/>
      <c r="C58" s="8">
        <v>121</v>
      </c>
      <c r="D58" s="14">
        <v>178</v>
      </c>
    </row>
    <row r="59" spans="2:4" x14ac:dyDescent="0.2">
      <c r="B59" s="168"/>
      <c r="C59" s="8">
        <v>123</v>
      </c>
      <c r="D59" s="14">
        <v>187</v>
      </c>
    </row>
    <row r="60" spans="2:4" x14ac:dyDescent="0.2">
      <c r="B60" s="168"/>
      <c r="C60" s="8">
        <v>125</v>
      </c>
      <c r="D60" s="14">
        <v>185</v>
      </c>
    </row>
    <row r="61" spans="2:4" x14ac:dyDescent="0.2">
      <c r="B61" s="168"/>
      <c r="C61" s="8">
        <v>231</v>
      </c>
      <c r="D61" s="14">
        <v>185</v>
      </c>
    </row>
    <row r="62" spans="2:4" x14ac:dyDescent="0.2">
      <c r="B62" s="168"/>
      <c r="C62" s="8">
        <v>300</v>
      </c>
      <c r="D62" s="14">
        <v>127</v>
      </c>
    </row>
    <row r="63" spans="2:4" x14ac:dyDescent="0.2">
      <c r="B63" s="168"/>
      <c r="C63" s="8">
        <v>301</v>
      </c>
      <c r="D63" s="14">
        <v>180</v>
      </c>
    </row>
    <row r="64" spans="2:4" x14ac:dyDescent="0.2">
      <c r="B64" s="169"/>
      <c r="C64" s="11">
        <v>302</v>
      </c>
      <c r="D64" s="15">
        <v>188</v>
      </c>
    </row>
    <row r="65" spans="2:4" x14ac:dyDescent="0.2">
      <c r="B65" s="173">
        <v>30</v>
      </c>
      <c r="C65" s="8">
        <v>136</v>
      </c>
      <c r="D65" s="14">
        <v>125</v>
      </c>
    </row>
    <row r="66" spans="2:4" x14ac:dyDescent="0.2">
      <c r="B66" s="168"/>
      <c r="C66" s="8">
        <v>141</v>
      </c>
      <c r="D66" s="14">
        <v>127</v>
      </c>
    </row>
    <row r="67" spans="2:4" x14ac:dyDescent="0.2">
      <c r="B67" s="168"/>
      <c r="C67" s="8">
        <v>149</v>
      </c>
      <c r="D67" s="14">
        <v>147</v>
      </c>
    </row>
    <row r="68" spans="2:4" x14ac:dyDescent="0.2">
      <c r="B68" s="168"/>
      <c r="C68" s="8">
        <v>151</v>
      </c>
      <c r="D68" s="14">
        <v>137</v>
      </c>
    </row>
    <row r="69" spans="2:4" x14ac:dyDescent="0.2">
      <c r="B69" s="168"/>
      <c r="C69" s="8">
        <v>305</v>
      </c>
      <c r="D69" s="14">
        <v>134</v>
      </c>
    </row>
    <row r="70" spans="2:4" x14ac:dyDescent="0.2">
      <c r="B70" s="169"/>
      <c r="C70" s="11">
        <v>306</v>
      </c>
      <c r="D70" s="15">
        <v>129</v>
      </c>
    </row>
    <row r="71" spans="2:4" x14ac:dyDescent="0.2">
      <c r="B71" s="173">
        <v>31</v>
      </c>
      <c r="C71" s="8">
        <v>156</v>
      </c>
      <c r="D71" s="14">
        <v>127</v>
      </c>
    </row>
    <row r="72" spans="2:4" x14ac:dyDescent="0.2">
      <c r="B72" s="168"/>
      <c r="C72" s="8">
        <v>160</v>
      </c>
      <c r="D72" s="14">
        <v>135</v>
      </c>
    </row>
    <row r="73" spans="2:4" x14ac:dyDescent="0.2">
      <c r="B73" s="168"/>
      <c r="C73" s="8">
        <v>307</v>
      </c>
      <c r="D73" s="14">
        <v>139</v>
      </c>
    </row>
    <row r="74" spans="2:4" x14ac:dyDescent="0.2">
      <c r="B74" s="169"/>
      <c r="C74" s="11">
        <v>308</v>
      </c>
      <c r="D74" s="15">
        <v>127</v>
      </c>
    </row>
    <row r="75" spans="2:4" x14ac:dyDescent="0.2">
      <c r="B75" s="173">
        <v>32</v>
      </c>
      <c r="C75" s="8">
        <v>163</v>
      </c>
      <c r="D75" s="14">
        <v>148</v>
      </c>
    </row>
    <row r="76" spans="2:4" x14ac:dyDescent="0.2">
      <c r="B76" s="169"/>
      <c r="C76" s="11">
        <v>167</v>
      </c>
      <c r="D76" s="15">
        <v>139</v>
      </c>
    </row>
  </sheetData>
  <mergeCells count="19">
    <mergeCell ref="F20:F24"/>
    <mergeCell ref="B45:B48"/>
    <mergeCell ref="B49:B54"/>
    <mergeCell ref="B55:B64"/>
    <mergeCell ref="B65:B70"/>
    <mergeCell ref="B71:B74"/>
    <mergeCell ref="B75:B76"/>
    <mergeCell ref="B16:B18"/>
    <mergeCell ref="B19:B22"/>
    <mergeCell ref="B23:B27"/>
    <mergeCell ref="B28:B33"/>
    <mergeCell ref="B34:B40"/>
    <mergeCell ref="B41:B44"/>
    <mergeCell ref="A5:H5"/>
    <mergeCell ref="A3:L4"/>
    <mergeCell ref="B9:B10"/>
    <mergeCell ref="B12:B15"/>
    <mergeCell ref="F8:F11"/>
    <mergeCell ref="F13:F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2 K19 N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Amostra Estratificada</vt:lpstr>
      <vt:lpstr>Estratificação de Flor.Eucalipt</vt:lpstr>
      <vt:lpstr>Aplicação da Estratificação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Gamer</cp:lastModifiedBy>
  <cp:revision>50</cp:revision>
  <dcterms:created xsi:type="dcterms:W3CDTF">2021-10-07T15:22:39Z</dcterms:created>
  <dcterms:modified xsi:type="dcterms:W3CDTF">2021-11-01T18:26:52Z</dcterms:modified>
  <dc:language>pt-BR</dc:language>
</cp:coreProperties>
</file>