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edro\Downloads\"/>
    </mc:Choice>
  </mc:AlternateContent>
  <xr:revisionPtr revIDLastSave="0" documentId="8_{5C8DC52B-F621-4A9F-9EF0-5637C2EC116D}" xr6:coauthVersionLast="47" xr6:coauthVersionMax="47" xr10:uidLastSave="{00000000-0000-0000-0000-000000000000}"/>
  <bookViews>
    <workbookView xWindow="-108" yWindow="-108" windowWidth="23256" windowHeight="12576" tabRatio="50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Z54" i="1" l="1"/>
  <c r="AA54" i="1"/>
  <c r="AB54" i="1"/>
  <c r="Y54" i="1"/>
  <c r="AB50" i="1"/>
  <c r="AB51" i="1"/>
  <c r="AB52" i="1"/>
  <c r="AB53" i="1"/>
  <c r="AA50" i="1"/>
  <c r="AA51" i="1"/>
  <c r="AA52" i="1"/>
  <c r="AA53" i="1"/>
  <c r="Z50" i="1"/>
  <c r="Z51" i="1"/>
  <c r="Z52" i="1"/>
  <c r="Z53" i="1"/>
  <c r="Y50" i="1"/>
  <c r="Y51" i="1"/>
  <c r="Y52" i="1"/>
  <c r="Y53" i="1"/>
  <c r="X53" i="1"/>
  <c r="X52" i="1"/>
  <c r="W53" i="1"/>
  <c r="W52" i="1"/>
  <c r="X51" i="1"/>
  <c r="W51" i="1"/>
  <c r="X50" i="1"/>
  <c r="W50" i="1"/>
  <c r="X49" i="1"/>
  <c r="W49" i="1"/>
  <c r="V53" i="1"/>
  <c r="T54" i="1"/>
  <c r="T50" i="1"/>
  <c r="V50" i="1" s="1"/>
  <c r="T51" i="1"/>
  <c r="T52" i="1"/>
  <c r="T53" i="1"/>
  <c r="T49" i="1"/>
  <c r="S53" i="1"/>
  <c r="S52" i="1"/>
  <c r="S51" i="1"/>
  <c r="Q52" i="1"/>
  <c r="Q53" i="1"/>
  <c r="Q51" i="1"/>
  <c r="Q50" i="1"/>
  <c r="Q49" i="1"/>
  <c r="K31" i="1"/>
  <c r="K30" i="1"/>
  <c r="K29" i="1"/>
  <c r="C187" i="1"/>
  <c r="D187" i="1"/>
  <c r="E187" i="1"/>
  <c r="B187" i="1"/>
  <c r="H162" i="1"/>
  <c r="H163" i="1"/>
  <c r="H164" i="1"/>
  <c r="H161" i="1"/>
  <c r="G162" i="1"/>
  <c r="K162" i="1" s="1"/>
  <c r="L162" i="1" s="1"/>
  <c r="G163" i="1"/>
  <c r="J163" i="1" s="1"/>
  <c r="G164" i="1"/>
  <c r="G161" i="1"/>
  <c r="J161" i="1" s="1"/>
  <c r="H122" i="1"/>
  <c r="H123" i="1"/>
  <c r="H124" i="1"/>
  <c r="H121" i="1"/>
  <c r="I121" i="1" s="1"/>
  <c r="G122" i="1"/>
  <c r="G123" i="1"/>
  <c r="G124" i="1"/>
  <c r="G121" i="1"/>
  <c r="J121" i="1" s="1"/>
  <c r="G101" i="1"/>
  <c r="J101" i="1" s="1"/>
  <c r="G102" i="1"/>
  <c r="G103" i="1"/>
  <c r="G104" i="1"/>
  <c r="H101" i="1"/>
  <c r="H102" i="1"/>
  <c r="H103" i="1"/>
  <c r="H104" i="1"/>
  <c r="I104" i="1" s="1"/>
  <c r="I102" i="1"/>
  <c r="I103" i="1"/>
  <c r="J103" i="1"/>
  <c r="F164" i="1"/>
  <c r="K164" i="1" s="1"/>
  <c r="L164" i="1" s="1"/>
  <c r="D164" i="1"/>
  <c r="A164" i="1"/>
  <c r="I164" i="1" s="1"/>
  <c r="I163" i="1"/>
  <c r="F163" i="1"/>
  <c r="D163" i="1"/>
  <c r="A163" i="1"/>
  <c r="I162" i="1"/>
  <c r="F162" i="1"/>
  <c r="D162" i="1"/>
  <c r="A162" i="1"/>
  <c r="D161" i="1"/>
  <c r="A161" i="1"/>
  <c r="I161" i="1" s="1"/>
  <c r="F144" i="1"/>
  <c r="D144" i="1"/>
  <c r="D146" i="1" s="1"/>
  <c r="D154" i="1" s="1"/>
  <c r="A144" i="1"/>
  <c r="F143" i="1"/>
  <c r="D143" i="1"/>
  <c r="D155" i="1" s="1"/>
  <c r="A143" i="1"/>
  <c r="F142" i="1"/>
  <c r="D142" i="1"/>
  <c r="A142" i="1"/>
  <c r="D141" i="1"/>
  <c r="A141" i="1"/>
  <c r="J124" i="1"/>
  <c r="F124" i="1"/>
  <c r="K124" i="1" s="1"/>
  <c r="L124" i="1" s="1"/>
  <c r="D124" i="1"/>
  <c r="A124" i="1"/>
  <c r="I124" i="1" s="1"/>
  <c r="I123" i="1"/>
  <c r="D123" i="1"/>
  <c r="F123" i="1" s="1"/>
  <c r="K123" i="1" s="1"/>
  <c r="L123" i="1" s="1"/>
  <c r="A123" i="1"/>
  <c r="I122" i="1"/>
  <c r="J122" i="1"/>
  <c r="F122" i="1"/>
  <c r="K122" i="1" s="1"/>
  <c r="L122" i="1" s="1"/>
  <c r="D122" i="1"/>
  <c r="A122" i="1"/>
  <c r="D121" i="1"/>
  <c r="A121" i="1"/>
  <c r="D116" i="1"/>
  <c r="D115" i="1"/>
  <c r="D106" i="1"/>
  <c r="L102" i="1"/>
  <c r="K102" i="1"/>
  <c r="K104" i="1"/>
  <c r="L104" i="1" s="1"/>
  <c r="J102" i="1"/>
  <c r="J104" i="1"/>
  <c r="F102" i="1"/>
  <c r="F103" i="1"/>
  <c r="F104" i="1"/>
  <c r="D102" i="1"/>
  <c r="D103" i="1"/>
  <c r="D104" i="1"/>
  <c r="D101" i="1"/>
  <c r="A104" i="1"/>
  <c r="A103" i="1"/>
  <c r="A102" i="1"/>
  <c r="A101" i="1"/>
  <c r="F101" i="1"/>
  <c r="I101" i="1"/>
  <c r="E95" i="1"/>
  <c r="F95" i="1"/>
  <c r="G95" i="1"/>
  <c r="D95" i="1"/>
  <c r="E84" i="1"/>
  <c r="F84" i="1"/>
  <c r="G84" i="1"/>
  <c r="D84" i="1"/>
  <c r="E73" i="1"/>
  <c r="F73" i="1"/>
  <c r="G73" i="1"/>
  <c r="D73" i="1"/>
  <c r="E72" i="1"/>
  <c r="F72" i="1"/>
  <c r="G72" i="1"/>
  <c r="D72" i="1"/>
  <c r="E83" i="1"/>
  <c r="F83" i="1"/>
  <c r="G83" i="1"/>
  <c r="D83" i="1"/>
  <c r="E94" i="1"/>
  <c r="F94" i="1"/>
  <c r="G94" i="1"/>
  <c r="D94" i="1"/>
  <c r="E60" i="1"/>
  <c r="F60" i="1"/>
  <c r="F61" i="1" s="1"/>
  <c r="F62" i="1" s="1"/>
  <c r="G60" i="1"/>
  <c r="G61" i="1" s="1"/>
  <c r="G62" i="1" s="1"/>
  <c r="D60" i="1"/>
  <c r="D61" i="1" s="1"/>
  <c r="D62" i="1" s="1"/>
  <c r="E71" i="1"/>
  <c r="F71" i="1"/>
  <c r="G71" i="1"/>
  <c r="D71" i="1"/>
  <c r="E82" i="1"/>
  <c r="F82" i="1"/>
  <c r="G82" i="1"/>
  <c r="D82" i="1"/>
  <c r="E93" i="1"/>
  <c r="F93" i="1"/>
  <c r="G93" i="1"/>
  <c r="D93" i="1"/>
  <c r="F59" i="1"/>
  <c r="G59" i="1"/>
  <c r="E70" i="1"/>
  <c r="F70" i="1"/>
  <c r="G70" i="1"/>
  <c r="D70" i="1"/>
  <c r="E81" i="1"/>
  <c r="F81" i="1"/>
  <c r="G81" i="1"/>
  <c r="D81" i="1"/>
  <c r="E92" i="1"/>
  <c r="F92" i="1"/>
  <c r="G92" i="1"/>
  <c r="D92" i="1"/>
  <c r="E91" i="1"/>
  <c r="F91" i="1"/>
  <c r="G91" i="1"/>
  <c r="D91" i="1"/>
  <c r="E58" i="1"/>
  <c r="E59" i="1" s="1"/>
  <c r="F58" i="1"/>
  <c r="H141" i="1" s="1"/>
  <c r="I141" i="1" s="1"/>
  <c r="G58" i="1"/>
  <c r="D58" i="1"/>
  <c r="D59" i="1" s="1"/>
  <c r="E69" i="1"/>
  <c r="F69" i="1"/>
  <c r="G69" i="1"/>
  <c r="D69" i="1"/>
  <c r="E80" i="1"/>
  <c r="F80" i="1"/>
  <c r="G80" i="1"/>
  <c r="D80" i="1"/>
  <c r="E90" i="1"/>
  <c r="F90" i="1"/>
  <c r="G90" i="1"/>
  <c r="D90" i="1"/>
  <c r="E79" i="1"/>
  <c r="F79" i="1"/>
  <c r="G79" i="1"/>
  <c r="D79" i="1"/>
  <c r="E68" i="1"/>
  <c r="F68" i="1"/>
  <c r="G68" i="1"/>
  <c r="D68" i="1"/>
  <c r="E57" i="1"/>
  <c r="F57" i="1"/>
  <c r="G57" i="1"/>
  <c r="D57" i="1"/>
  <c r="E89" i="1"/>
  <c r="F89" i="1"/>
  <c r="G89" i="1"/>
  <c r="D89" i="1"/>
  <c r="E78" i="1"/>
  <c r="F78" i="1"/>
  <c r="G78" i="1"/>
  <c r="D78" i="1"/>
  <c r="E67" i="1"/>
  <c r="F67" i="1"/>
  <c r="G67" i="1"/>
  <c r="D67" i="1"/>
  <c r="E56" i="1"/>
  <c r="F56" i="1"/>
  <c r="G56" i="1"/>
  <c r="D56" i="1"/>
  <c r="E88" i="1"/>
  <c r="F88" i="1"/>
  <c r="G88" i="1"/>
  <c r="D88" i="1"/>
  <c r="E77" i="1"/>
  <c r="F77" i="1"/>
  <c r="G77" i="1"/>
  <c r="D77" i="1"/>
  <c r="E66" i="1"/>
  <c r="F66" i="1"/>
  <c r="G66" i="1"/>
  <c r="D66" i="1"/>
  <c r="E55" i="1"/>
  <c r="F55" i="1"/>
  <c r="G55" i="1"/>
  <c r="D55" i="1"/>
  <c r="B45" i="1"/>
  <c r="Y49" i="1" l="1"/>
  <c r="Z49" i="1"/>
  <c r="V52" i="1"/>
  <c r="V51" i="1"/>
  <c r="V49" i="1"/>
  <c r="AA49" i="1" s="1"/>
  <c r="E61" i="1"/>
  <c r="E62" i="1" s="1"/>
  <c r="G142" i="1"/>
  <c r="K142" i="1" s="1"/>
  <c r="L142" i="1" s="1"/>
  <c r="H144" i="1"/>
  <c r="I144" i="1" s="1"/>
  <c r="H143" i="1"/>
  <c r="I143" i="1" s="1"/>
  <c r="H142" i="1"/>
  <c r="I142" i="1" s="1"/>
  <c r="I146" i="1" s="1"/>
  <c r="H146" i="1" s="1"/>
  <c r="G141" i="1"/>
  <c r="J141" i="1" s="1"/>
  <c r="G144" i="1"/>
  <c r="K144" i="1" s="1"/>
  <c r="L144" i="1" s="1"/>
  <c r="G143" i="1"/>
  <c r="J143" i="1" s="1"/>
  <c r="K163" i="1"/>
  <c r="L163" i="1" s="1"/>
  <c r="I106" i="1"/>
  <c r="K103" i="1"/>
  <c r="L103" i="1" s="1"/>
  <c r="J106" i="1"/>
  <c r="I166" i="1"/>
  <c r="H166" i="1" s="1"/>
  <c r="D176" i="1"/>
  <c r="J162" i="1"/>
  <c r="J166" i="1" s="1"/>
  <c r="H167" i="1" s="1"/>
  <c r="D173" i="1"/>
  <c r="J164" i="1"/>
  <c r="F161" i="1"/>
  <c r="K161" i="1" s="1"/>
  <c r="D166" i="1"/>
  <c r="D175" i="1" s="1"/>
  <c r="D153" i="1"/>
  <c r="F141" i="1"/>
  <c r="D156" i="1"/>
  <c r="I126" i="1"/>
  <c r="J123" i="1"/>
  <c r="J126" i="1" s="1"/>
  <c r="H127" i="1" s="1"/>
  <c r="D135" i="1"/>
  <c r="F121" i="1"/>
  <c r="K121" i="1" s="1"/>
  <c r="D126" i="1"/>
  <c r="D133" i="1" s="1"/>
  <c r="K101" i="1"/>
  <c r="D113" i="1"/>
  <c r="X54" i="1" l="1"/>
  <c r="X55" i="1"/>
  <c r="AB49" i="1"/>
  <c r="J142" i="1"/>
  <c r="J144" i="1"/>
  <c r="K143" i="1"/>
  <c r="L143" i="1" s="1"/>
  <c r="K141" i="1"/>
  <c r="L141" i="1" s="1"/>
  <c r="L146" i="1" s="1"/>
  <c r="L101" i="1"/>
  <c r="L106" i="1" s="1"/>
  <c r="K106" i="1"/>
  <c r="D174" i="1"/>
  <c r="L161" i="1"/>
  <c r="L166" i="1" s="1"/>
  <c r="K166" i="1"/>
  <c r="K126" i="1"/>
  <c r="L121" i="1"/>
  <c r="L126" i="1" s="1"/>
  <c r="D136" i="1"/>
  <c r="D134" i="1"/>
  <c r="H126" i="1"/>
  <c r="H106" i="1"/>
  <c r="D114" i="1"/>
  <c r="H107" i="1"/>
  <c r="X56" i="1" l="1"/>
  <c r="X58" i="1" s="1"/>
  <c r="X59" i="1" s="1"/>
  <c r="K146" i="1"/>
  <c r="H148" i="1" s="1"/>
  <c r="H149" i="1" s="1"/>
  <c r="H150" i="1" s="1"/>
  <c r="H151" i="1" s="1"/>
  <c r="J146" i="1"/>
  <c r="H147" i="1" s="1"/>
  <c r="H168" i="1"/>
  <c r="H169" i="1" s="1"/>
  <c r="H170" i="1" s="1"/>
  <c r="H171" i="1" s="1"/>
  <c r="H128" i="1"/>
  <c r="H129" i="1" s="1"/>
  <c r="H130" i="1" s="1"/>
  <c r="H131" i="1" s="1"/>
  <c r="H108" i="1"/>
  <c r="H109" i="1" s="1"/>
  <c r="H176" i="1" l="1"/>
  <c r="H175" i="1"/>
  <c r="H156" i="1"/>
  <c r="H155" i="1"/>
  <c r="H116" i="1"/>
  <c r="H115" i="1"/>
  <c r="H135" i="1"/>
  <c r="H136" i="1"/>
  <c r="H110" i="1"/>
  <c r="H111" i="1" s="1"/>
</calcChain>
</file>

<file path=xl/sharedStrings.xml><?xml version="1.0" encoding="utf-8"?>
<sst xmlns="http://schemas.openxmlformats.org/spreadsheetml/2006/main" count="341" uniqueCount="105">
  <si>
    <t>I. Amostra Estratificada</t>
  </si>
  <si>
    <t>II. Estratificação de Floresta de Eucalipto</t>
  </si>
  <si>
    <t>III. Aplicação da Estratificação</t>
  </si>
  <si>
    <t>A tabela abaixo apresenta os dados de um levantamento do palmiteiro juçara (Euterpe edulis – Arecaceae) na região do Vale do Ribeira, Estado de São Paulo.</t>
  </si>
  <si>
    <t>A tabela abaixo apresenta os dados de “cadastro” dos talhões de uma floresta plantada de eucalipto.</t>
  </si>
  <si>
    <t>Com base na estratificação realizada no exercício anterior, encontre o Intervalo de confiança para produção média da floresta, segundo os dados de parcela apresentados abaixo (parcelas de 540m2)</t>
  </si>
  <si>
    <t>O exemplo é composto de 34 arvoredos (parcelas de 1600m2) locados no campo segundo a amostragem estratificada.</t>
  </si>
  <si>
    <t>Com base nas informações apresentadas, defina os ESTRATOS  para se realizar uma amostragem estratificada, determinando os talhões quem compõem cada estrato bem como as suas áreas totais (ha).</t>
  </si>
  <si>
    <t>Assuma que a estatística t para cálculo do intervalo de confiança é igual a 2,00.</t>
  </si>
  <si>
    <t>Em cada um dos quatro estratos, realizou-se uma amostragem aleatória simples.</t>
  </si>
  <si>
    <t>A área basal e os DAP médio e médio quadrático se referem apenas às plantas do palmiteiro juçara.</t>
  </si>
  <si>
    <t>Estrato</t>
  </si>
  <si>
    <t>Área do</t>
  </si>
  <si>
    <t>Parcela</t>
  </si>
  <si>
    <t>Número de</t>
  </si>
  <si>
    <t>Área</t>
  </si>
  <si>
    <t>DAP</t>
  </si>
  <si>
    <t>DAP médio</t>
  </si>
  <si>
    <t>Talhão</t>
  </si>
  <si>
    <t>Idade</t>
  </si>
  <si>
    <t>Área (ha)</t>
  </si>
  <si>
    <t>Rotação</t>
  </si>
  <si>
    <t>Espaçamento</t>
  </si>
  <si>
    <t>Espécie</t>
  </si>
  <si>
    <t>Manejo</t>
  </si>
  <si>
    <t>Tipo de Plantio</t>
  </si>
  <si>
    <t>Produção</t>
  </si>
  <si>
    <t>Palmiterios</t>
  </si>
  <si>
    <t>Basal</t>
  </si>
  <si>
    <t>médio</t>
  </si>
  <si>
    <t>quadrático</t>
  </si>
  <si>
    <t>330X180</t>
  </si>
  <si>
    <t>E. grandis</t>
  </si>
  <si>
    <t>Reforma</t>
  </si>
  <si>
    <t>clonal</t>
  </si>
  <si>
    <t>(m3/ha)</t>
  </si>
  <si>
    <t>(ha)</t>
  </si>
  <si>
    <t>(1/ha)</t>
  </si>
  <si>
    <t>(m2/ha)</t>
  </si>
  <si>
    <t>(cm)</t>
  </si>
  <si>
    <t>E. grandis x E. urophylla</t>
  </si>
  <si>
    <t>I</t>
  </si>
  <si>
    <t>300x200</t>
  </si>
  <si>
    <t>Condução</t>
  </si>
  <si>
    <t>300x180</t>
  </si>
  <si>
    <t>seminal</t>
  </si>
  <si>
    <t>330x220</t>
  </si>
  <si>
    <t>II</t>
  </si>
  <si>
    <t>III</t>
  </si>
  <si>
    <t>IV</t>
  </si>
  <si>
    <t>Total</t>
  </si>
  <si>
    <t>1) Econtre o invervalo de confiança de 95% para a MÉDIA POPULACIONAL dos atributos.</t>
  </si>
  <si>
    <t>2) Encontre o tamanho de amostra necessária para erro amostral aceitável de 10% para cada um dos atributos</t>
  </si>
  <si>
    <t>3) Encontre o tamanho de amostra necessária para erro amostral aceitável de 5% para cada um dos atributos</t>
  </si>
  <si>
    <t>4) Compare a precisão da Amostragem Estratificada com a da Amostragem Aleatória Simples (Exercício Aula 8).</t>
  </si>
  <si>
    <t>V</t>
  </si>
  <si>
    <t>n =</t>
  </si>
  <si>
    <t xml:space="preserve">Média = </t>
  </si>
  <si>
    <t xml:space="preserve">Var = </t>
  </si>
  <si>
    <t xml:space="preserve">V% = </t>
  </si>
  <si>
    <t xml:space="preserve">Var média = </t>
  </si>
  <si>
    <t xml:space="preserve">Erro padrão da média = </t>
  </si>
  <si>
    <t>T(0,975;13-1)</t>
  </si>
  <si>
    <t>Intervalo de Confiança 95%</t>
  </si>
  <si>
    <t>(IC95)%</t>
  </si>
  <si>
    <t>1)</t>
  </si>
  <si>
    <t>2)</t>
  </si>
  <si>
    <t>Área amostrada (ha)</t>
  </si>
  <si>
    <t>Área do estrato (ha)</t>
  </si>
  <si>
    <t>N</t>
  </si>
  <si>
    <t>n</t>
  </si>
  <si>
    <t>a</t>
  </si>
  <si>
    <t>Var</t>
  </si>
  <si>
    <t>Méd</t>
  </si>
  <si>
    <t>tau</t>
  </si>
  <si>
    <t>Var(tau)</t>
  </si>
  <si>
    <t>(a * S²)</t>
  </si>
  <si>
    <t>(a * s²)²/(n-1)</t>
  </si>
  <si>
    <t>Floresta</t>
  </si>
  <si>
    <t>Var média</t>
  </si>
  <si>
    <t>n_E</t>
  </si>
  <si>
    <t>Estatística T</t>
  </si>
  <si>
    <t>IC95%</t>
  </si>
  <si>
    <t>IC95% porcent</t>
  </si>
  <si>
    <t>Nh</t>
  </si>
  <si>
    <t>Número de Palmiteiros (1/ha)</t>
  </si>
  <si>
    <t>n* (5%)=</t>
  </si>
  <si>
    <t>n* (10%)=</t>
  </si>
  <si>
    <t>Área basal (m²/ha)</t>
  </si>
  <si>
    <t>DAP Médio (cm)</t>
  </si>
  <si>
    <t>DAP Médio quadrático (cm)</t>
  </si>
  <si>
    <t>3)</t>
  </si>
  <si>
    <t>Var média (Amostragem simples)=</t>
  </si>
  <si>
    <t>Var média (Amostragem estratificada)=</t>
  </si>
  <si>
    <t>Razão=</t>
  </si>
  <si>
    <t>Para número de palmiteiros e área basal, a estratificação foi eficiente. Agora para DAP médio e DAP médio quadrático a estratificação piorou os resultados.</t>
  </si>
  <si>
    <t>Definição:</t>
  </si>
  <si>
    <t>Área total (ha)</t>
  </si>
  <si>
    <t>15, 16, 17, 18, 19</t>
  </si>
  <si>
    <t>30, 31, 32</t>
  </si>
  <si>
    <t>E. grandis Seminal</t>
  </si>
  <si>
    <t>E. grandis (300x180)</t>
  </si>
  <si>
    <t>E. grandis (300x200)</t>
  </si>
  <si>
    <t>E. grandis (300x220)</t>
  </si>
  <si>
    <t>12, 13, 26, 28, 29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</si>
</sst>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  <family val="2"/>
      <charset val="1"/>
    </font>
    <font>
      <b/>
      <sz val="14"/>
      <name val="Times New Roman"/>
      <family val="1"/>
      <charset val="1"/>
    </font>
    <font>
      <b/>
      <sz val="12"/>
      <name val="Arial"/>
      <family val="2"/>
      <charset val="1"/>
    </font>
    <font>
      <b/>
      <sz val="10"/>
      <name val="Arial"/>
      <family val="2"/>
      <charset val="1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7" xfId="0" applyBorder="1" applyAlignment="1">
      <alignment horizontal="center"/>
    </xf>
    <xf numFmtId="2" fontId="0" fillId="0" borderId="6" xfId="0" applyNumberFormat="1" applyBorder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2" fontId="0" fillId="0" borderId="0" xfId="0" applyNumberFormat="1" applyBorder="1" applyAlignment="1">
      <alignment horizontal="center"/>
    </xf>
    <xf numFmtId="0" fontId="0" fillId="0" borderId="6" xfId="0" applyBorder="1"/>
    <xf numFmtId="0" fontId="0" fillId="0" borderId="8" xfId="0" applyBorder="1"/>
    <xf numFmtId="0" fontId="0" fillId="0" borderId="0" xfId="0" applyBorder="1"/>
    <xf numFmtId="0" fontId="0" fillId="0" borderId="0" xfId="0" applyAlignment="1">
      <alignment horizontal="left" vertical="center"/>
    </xf>
    <xf numFmtId="0" fontId="5" fillId="0" borderId="0" xfId="0" applyFont="1"/>
    <xf numFmtId="0" fontId="0" fillId="0" borderId="0" xfId="0" applyAlignment="1">
      <alignment horizontal="right" vertic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center"/>
    </xf>
    <xf numFmtId="2" fontId="5" fillId="0" borderId="9" xfId="0" applyNumberFormat="1" applyFont="1" applyBorder="1" applyAlignment="1">
      <alignment horizontal="center"/>
    </xf>
    <xf numFmtId="0" fontId="5" fillId="0" borderId="0" xfId="0" applyFont="1" applyBorder="1"/>
    <xf numFmtId="2" fontId="5" fillId="0" borderId="7" xfId="0" applyNumberFormat="1" applyFont="1" applyBorder="1" applyAlignment="1">
      <alignment horizontal="center"/>
    </xf>
    <xf numFmtId="0" fontId="4" fillId="0" borderId="0" xfId="0" applyFont="1" applyBorder="1"/>
    <xf numFmtId="0" fontId="4" fillId="2" borderId="10" xfId="0" applyFont="1" applyFill="1" applyBorder="1" applyAlignment="1">
      <alignment horizontal="right" vertical="center"/>
    </xf>
    <xf numFmtId="0" fontId="3" fillId="2" borderId="2" xfId="0" applyFont="1" applyFill="1" applyBorder="1"/>
    <xf numFmtId="2" fontId="3" fillId="2" borderId="2" xfId="0" applyNumberFormat="1" applyFont="1" applyFill="1" applyBorder="1"/>
    <xf numFmtId="2" fontId="3" fillId="2" borderId="11" xfId="0" applyNumberFormat="1" applyFont="1" applyFill="1" applyBorder="1"/>
    <xf numFmtId="0" fontId="4" fillId="2" borderId="3" xfId="0" applyFont="1" applyFill="1" applyBorder="1" applyAlignment="1">
      <alignment horizontal="right" vertical="center"/>
    </xf>
    <xf numFmtId="0" fontId="3" fillId="2" borderId="1" xfId="0" applyFont="1" applyFill="1" applyBorder="1"/>
    <xf numFmtId="0" fontId="3" fillId="2" borderId="4" xfId="0" applyFont="1" applyFill="1" applyBorder="1"/>
    <xf numFmtId="0" fontId="3" fillId="2" borderId="5" xfId="0" applyFont="1" applyFill="1" applyBorder="1" applyAlignment="1">
      <alignment horizontal="right" vertical="center"/>
    </xf>
    <xf numFmtId="0" fontId="3" fillId="2" borderId="6" xfId="0" applyFont="1" applyFill="1" applyBorder="1"/>
    <xf numFmtId="0" fontId="3" fillId="2" borderId="7" xfId="0" applyFont="1" applyFill="1" applyBorder="1"/>
    <xf numFmtId="0" fontId="4" fillId="2" borderId="3" xfId="0" applyFont="1" applyFill="1" applyBorder="1"/>
    <xf numFmtId="0" fontId="4" fillId="2" borderId="4" xfId="0" applyFont="1" applyFill="1" applyBorder="1"/>
    <xf numFmtId="0" fontId="5" fillId="2" borderId="5" xfId="0" applyFont="1" applyFill="1" applyBorder="1"/>
    <xf numFmtId="0" fontId="5" fillId="2" borderId="7" xfId="0" applyFont="1" applyFill="1" applyBorder="1"/>
    <xf numFmtId="0" fontId="5" fillId="2" borderId="10" xfId="0" applyFont="1" applyFill="1" applyBorder="1"/>
    <xf numFmtId="0" fontId="5" fillId="2" borderId="2" xfId="0" applyFont="1" applyFill="1" applyBorder="1"/>
    <xf numFmtId="0" fontId="5" fillId="2" borderId="11" xfId="0" applyFont="1" applyFill="1" applyBorder="1"/>
    <xf numFmtId="0" fontId="0" fillId="2" borderId="0" xfId="0" applyFill="1"/>
    <xf numFmtId="0" fontId="5" fillId="2" borderId="3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2" fontId="5" fillId="2" borderId="9" xfId="0" applyNumberFormat="1" applyFont="1" applyFill="1" applyBorder="1" applyAlignment="1">
      <alignment horizontal="center"/>
    </xf>
    <xf numFmtId="0" fontId="5" fillId="2" borderId="0" xfId="0" applyFont="1" applyFill="1" applyBorder="1"/>
    <xf numFmtId="0" fontId="5" fillId="2" borderId="5" xfId="0" applyFont="1" applyFill="1" applyBorder="1" applyAlignment="1">
      <alignment horizontal="center"/>
    </xf>
    <xf numFmtId="0" fontId="5" fillId="2" borderId="6" xfId="0" applyFont="1" applyFill="1" applyBorder="1"/>
    <xf numFmtId="0" fontId="5" fillId="2" borderId="6" xfId="0" applyFont="1" applyFill="1" applyBorder="1" applyAlignment="1">
      <alignment horizontal="center"/>
    </xf>
    <xf numFmtId="2" fontId="5" fillId="2" borderId="7" xfId="0" applyNumberFormat="1" applyFont="1" applyFill="1" applyBorder="1" applyAlignment="1">
      <alignment horizontal="center"/>
    </xf>
    <xf numFmtId="0" fontId="4" fillId="2" borderId="5" xfId="0" applyFont="1" applyFill="1" applyBorder="1"/>
    <xf numFmtId="0" fontId="4" fillId="2" borderId="7" xfId="0" applyFont="1" applyFill="1" applyBorder="1"/>
    <xf numFmtId="0" fontId="5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89"/>
  <sheetViews>
    <sheetView tabSelected="1" topLeftCell="F34" zoomScale="60" zoomScaleNormal="60" workbookViewId="0">
      <selection activeCell="L181" sqref="L181"/>
    </sheetView>
  </sheetViews>
  <sheetFormatPr defaultColWidth="11.5546875" defaultRowHeight="13.2" x14ac:dyDescent="0.25"/>
  <cols>
    <col min="1" max="1" width="29.44140625" bestFit="1" customWidth="1"/>
    <col min="2" max="2" width="11.6640625" customWidth="1"/>
    <col min="4" max="4" width="16.77734375" customWidth="1"/>
    <col min="5" max="5" width="16.88671875" customWidth="1"/>
    <col min="6" max="6" width="16.33203125" customWidth="1"/>
    <col min="7" max="7" width="13.77734375" customWidth="1"/>
    <col min="8" max="8" width="50.21875" bestFit="1" customWidth="1"/>
    <col min="9" max="9" width="21.21875" bestFit="1" customWidth="1"/>
    <col min="10" max="10" width="15.5546875" bestFit="1" customWidth="1"/>
    <col min="11" max="11" width="16.21875" bestFit="1" customWidth="1"/>
    <col min="12" max="12" width="13.21875" customWidth="1"/>
    <col min="13" max="13" width="21" customWidth="1"/>
    <col min="14" max="14" width="10.44140625" customWidth="1"/>
    <col min="15" max="15" width="14.6640625" customWidth="1"/>
  </cols>
  <sheetData>
    <row r="1" spans="1:23" ht="17.399999999999999" x14ac:dyDescent="0.25">
      <c r="A1" s="3" t="s">
        <v>0</v>
      </c>
      <c r="H1" s="3" t="s">
        <v>1</v>
      </c>
      <c r="P1" s="3" t="s">
        <v>2</v>
      </c>
    </row>
    <row r="2" spans="1:23" ht="15.6" x14ac:dyDescent="0.25">
      <c r="A2" s="4"/>
    </row>
    <row r="3" spans="1:23" ht="23.85" customHeight="1" x14ac:dyDescent="0.25">
      <c r="A3" s="2" t="s">
        <v>3</v>
      </c>
      <c r="B3" s="2"/>
      <c r="C3" s="2"/>
      <c r="D3" s="2"/>
      <c r="E3" s="2"/>
      <c r="F3" s="2"/>
      <c r="G3" s="2"/>
      <c r="H3" s="1" t="s">
        <v>4</v>
      </c>
      <c r="I3" s="1"/>
      <c r="J3" s="1"/>
      <c r="K3" s="1"/>
      <c r="L3" s="1"/>
      <c r="M3" s="1"/>
      <c r="N3" s="1"/>
      <c r="O3" s="1"/>
      <c r="P3" s="2" t="s">
        <v>5</v>
      </c>
      <c r="Q3" s="2"/>
      <c r="R3" s="2"/>
      <c r="S3" s="2"/>
      <c r="T3" s="2"/>
      <c r="U3" s="2"/>
      <c r="V3" s="2"/>
      <c r="W3" s="2"/>
    </row>
    <row r="4" spans="1:23" ht="25.35" customHeight="1" x14ac:dyDescent="0.25">
      <c r="A4" s="2" t="s">
        <v>6</v>
      </c>
      <c r="B4" s="2"/>
      <c r="C4" s="2"/>
      <c r="D4" s="2"/>
      <c r="E4" s="2"/>
      <c r="F4" s="2"/>
      <c r="G4" s="2"/>
      <c r="H4" s="2" t="s">
        <v>7</v>
      </c>
      <c r="I4" s="2"/>
      <c r="J4" s="2"/>
      <c r="K4" s="2"/>
      <c r="L4" s="2"/>
      <c r="M4" s="2"/>
      <c r="N4" s="2"/>
      <c r="O4" s="2"/>
      <c r="P4" s="1" t="s">
        <v>8</v>
      </c>
      <c r="Q4" s="1"/>
      <c r="R4" s="1"/>
      <c r="S4" s="1"/>
      <c r="T4" s="1"/>
      <c r="U4" s="1"/>
      <c r="V4" s="1"/>
      <c r="W4" s="1"/>
    </row>
    <row r="5" spans="1:23" ht="12.75" customHeight="1" x14ac:dyDescent="0.25">
      <c r="A5" s="2" t="s">
        <v>9</v>
      </c>
      <c r="B5" s="2"/>
      <c r="C5" s="2"/>
      <c r="D5" s="2"/>
      <c r="E5" s="2"/>
      <c r="F5" s="2"/>
      <c r="G5" s="2"/>
    </row>
    <row r="6" spans="1:23" ht="12.75" customHeight="1" x14ac:dyDescent="0.25">
      <c r="A6" s="2" t="s">
        <v>10</v>
      </c>
      <c r="B6" s="2"/>
      <c r="C6" s="2"/>
      <c r="D6" s="2"/>
      <c r="E6" s="2"/>
      <c r="F6" s="2"/>
      <c r="G6" s="2"/>
    </row>
    <row r="8" spans="1:23" x14ac:dyDescent="0.25">
      <c r="A8" s="5" t="s">
        <v>11</v>
      </c>
      <c r="B8" s="5" t="s">
        <v>12</v>
      </c>
      <c r="C8" s="5" t="s">
        <v>13</v>
      </c>
      <c r="D8" s="5" t="s">
        <v>14</v>
      </c>
      <c r="E8" s="5" t="s">
        <v>15</v>
      </c>
      <c r="F8" s="5" t="s">
        <v>16</v>
      </c>
      <c r="G8" s="5" t="s">
        <v>17</v>
      </c>
      <c r="H8" s="6" t="s">
        <v>18</v>
      </c>
      <c r="I8" s="6" t="s">
        <v>19</v>
      </c>
      <c r="J8" s="6" t="s">
        <v>20</v>
      </c>
      <c r="K8" s="6" t="s">
        <v>21</v>
      </c>
      <c r="L8" s="6" t="s">
        <v>22</v>
      </c>
      <c r="M8" s="6" t="s">
        <v>23</v>
      </c>
      <c r="N8" s="6" t="s">
        <v>24</v>
      </c>
      <c r="O8" s="6" t="s">
        <v>25</v>
      </c>
      <c r="Q8" s="7" t="s">
        <v>18</v>
      </c>
      <c r="R8" s="5" t="s">
        <v>13</v>
      </c>
      <c r="S8" s="8" t="s">
        <v>26</v>
      </c>
      <c r="T8" s="7" t="s">
        <v>18</v>
      </c>
      <c r="U8" s="5" t="s">
        <v>13</v>
      </c>
      <c r="V8" s="8" t="s">
        <v>26</v>
      </c>
    </row>
    <row r="9" spans="1:23" x14ac:dyDescent="0.25">
      <c r="A9" s="9"/>
      <c r="B9" s="9" t="s">
        <v>11</v>
      </c>
      <c r="C9" s="9"/>
      <c r="D9" s="9" t="s">
        <v>27</v>
      </c>
      <c r="E9" s="9" t="s">
        <v>28</v>
      </c>
      <c r="F9" s="9" t="s">
        <v>29</v>
      </c>
      <c r="G9" s="9" t="s">
        <v>30</v>
      </c>
      <c r="H9" s="10">
        <v>11</v>
      </c>
      <c r="I9" s="11">
        <v>3.3342465753424699</v>
      </c>
      <c r="J9" s="11">
        <v>26.06</v>
      </c>
      <c r="K9" s="10">
        <v>1</v>
      </c>
      <c r="L9" s="10" t="s">
        <v>31</v>
      </c>
      <c r="M9" s="10" t="s">
        <v>32</v>
      </c>
      <c r="N9" s="10" t="s">
        <v>33</v>
      </c>
      <c r="O9" s="10" t="s">
        <v>34</v>
      </c>
      <c r="Q9" s="12"/>
      <c r="R9" s="13"/>
      <c r="S9" s="14" t="s">
        <v>35</v>
      </c>
      <c r="T9" s="12"/>
      <c r="U9" s="13"/>
      <c r="V9" s="14" t="s">
        <v>35</v>
      </c>
    </row>
    <row r="10" spans="1:23" x14ac:dyDescent="0.25">
      <c r="A10" s="15"/>
      <c r="B10" s="15" t="s">
        <v>36</v>
      </c>
      <c r="C10" s="15"/>
      <c r="D10" s="15" t="s">
        <v>37</v>
      </c>
      <c r="E10" s="15" t="s">
        <v>38</v>
      </c>
      <c r="F10" s="15" t="s">
        <v>39</v>
      </c>
      <c r="G10" s="15" t="s">
        <v>39</v>
      </c>
      <c r="H10" s="10">
        <v>12</v>
      </c>
      <c r="I10" s="11">
        <v>3.32328767123288</v>
      </c>
      <c r="J10" s="11">
        <v>22.41</v>
      </c>
      <c r="K10" s="10">
        <v>1</v>
      </c>
      <c r="L10" s="10" t="s">
        <v>31</v>
      </c>
      <c r="M10" s="10" t="s">
        <v>40</v>
      </c>
      <c r="N10" s="10" t="s">
        <v>33</v>
      </c>
      <c r="O10" s="10" t="s">
        <v>34</v>
      </c>
      <c r="Q10" s="16">
        <v>11</v>
      </c>
      <c r="R10" s="10">
        <v>312</v>
      </c>
      <c r="S10" s="17">
        <v>179</v>
      </c>
      <c r="T10" s="16">
        <v>27</v>
      </c>
      <c r="U10" s="10">
        <v>103</v>
      </c>
      <c r="V10" s="17">
        <v>390</v>
      </c>
    </row>
    <row r="11" spans="1:23" x14ac:dyDescent="0.25">
      <c r="A11" s="9" t="s">
        <v>41</v>
      </c>
      <c r="B11" s="9">
        <v>1333.9</v>
      </c>
      <c r="C11" s="10">
        <v>1004</v>
      </c>
      <c r="D11" s="11">
        <v>631.25</v>
      </c>
      <c r="E11" s="11">
        <v>8.24</v>
      </c>
      <c r="F11" s="11">
        <v>5.91</v>
      </c>
      <c r="G11" s="11">
        <v>12.89</v>
      </c>
      <c r="H11" s="10">
        <v>13</v>
      </c>
      <c r="I11" s="11">
        <v>3.3287671232876699</v>
      </c>
      <c r="J11" s="11">
        <v>31.05</v>
      </c>
      <c r="K11" s="10">
        <v>1</v>
      </c>
      <c r="L11" s="10" t="s">
        <v>31</v>
      </c>
      <c r="M11" s="10" t="s">
        <v>40</v>
      </c>
      <c r="N11" s="10" t="s">
        <v>33</v>
      </c>
      <c r="O11" s="10" t="s">
        <v>34</v>
      </c>
      <c r="Q11" s="12"/>
      <c r="R11" s="13">
        <v>328</v>
      </c>
      <c r="S11" s="18">
        <v>160</v>
      </c>
      <c r="T11" s="16"/>
      <c r="U11" s="10">
        <v>188</v>
      </c>
      <c r="V11" s="17">
        <v>387</v>
      </c>
    </row>
    <row r="12" spans="1:23" x14ac:dyDescent="0.25">
      <c r="A12" s="9"/>
      <c r="B12" s="9"/>
      <c r="C12" s="10">
        <v>1006</v>
      </c>
      <c r="D12" s="11">
        <v>1025</v>
      </c>
      <c r="E12" s="11">
        <v>10.32</v>
      </c>
      <c r="F12" s="11">
        <v>9.59</v>
      </c>
      <c r="G12" s="11">
        <v>11.32</v>
      </c>
      <c r="H12" s="10">
        <v>15</v>
      </c>
      <c r="I12" s="11">
        <v>6.0410958904109604</v>
      </c>
      <c r="J12" s="11">
        <v>23.4</v>
      </c>
      <c r="K12" s="10">
        <v>2</v>
      </c>
      <c r="L12" s="10" t="s">
        <v>42</v>
      </c>
      <c r="M12" s="10" t="s">
        <v>32</v>
      </c>
      <c r="N12" s="10" t="s">
        <v>43</v>
      </c>
      <c r="O12" s="10" t="s">
        <v>34</v>
      </c>
      <c r="Q12" s="12">
        <v>12</v>
      </c>
      <c r="R12" s="13">
        <v>322</v>
      </c>
      <c r="S12" s="18">
        <v>178</v>
      </c>
      <c r="T12" s="16"/>
      <c r="U12" s="10">
        <v>309</v>
      </c>
      <c r="V12" s="17">
        <v>384</v>
      </c>
    </row>
    <row r="13" spans="1:23" x14ac:dyDescent="0.25">
      <c r="A13" s="9"/>
      <c r="B13" s="9"/>
      <c r="C13" s="10">
        <v>1007</v>
      </c>
      <c r="D13" s="11">
        <v>1006.25</v>
      </c>
      <c r="E13" s="11">
        <v>9.4700000000000006</v>
      </c>
      <c r="F13" s="11">
        <v>10.49</v>
      </c>
      <c r="G13" s="11">
        <v>10.95</v>
      </c>
      <c r="H13" s="10">
        <v>16</v>
      </c>
      <c r="I13" s="11">
        <v>6.1835616438356196</v>
      </c>
      <c r="J13" s="11">
        <v>28.05</v>
      </c>
      <c r="K13" s="10">
        <v>2</v>
      </c>
      <c r="L13" s="10" t="s">
        <v>42</v>
      </c>
      <c r="M13" s="10" t="s">
        <v>32</v>
      </c>
      <c r="N13" s="10" t="s">
        <v>43</v>
      </c>
      <c r="O13" s="10" t="s">
        <v>34</v>
      </c>
      <c r="Q13" s="16">
        <v>13</v>
      </c>
      <c r="R13" s="10">
        <v>310</v>
      </c>
      <c r="S13" s="17">
        <v>159</v>
      </c>
      <c r="T13" s="12"/>
      <c r="U13" s="13">
        <v>380</v>
      </c>
      <c r="V13" s="18">
        <v>364</v>
      </c>
    </row>
    <row r="14" spans="1:23" x14ac:dyDescent="0.25">
      <c r="A14" s="9"/>
      <c r="B14" s="9"/>
      <c r="C14" s="10">
        <v>1018</v>
      </c>
      <c r="D14" s="11">
        <v>550</v>
      </c>
      <c r="E14" s="11">
        <v>9.6199999999999992</v>
      </c>
      <c r="F14" s="11">
        <v>6.34</v>
      </c>
      <c r="G14" s="11">
        <v>14.92</v>
      </c>
      <c r="H14" s="10">
        <v>17</v>
      </c>
      <c r="I14" s="11">
        <v>6.1863013698630098</v>
      </c>
      <c r="J14" s="11">
        <v>36.549999999999997</v>
      </c>
      <c r="K14" s="10">
        <v>2</v>
      </c>
      <c r="L14" s="10" t="s">
        <v>42</v>
      </c>
      <c r="M14" s="10" t="s">
        <v>32</v>
      </c>
      <c r="N14" s="10" t="s">
        <v>43</v>
      </c>
      <c r="O14" s="10" t="s">
        <v>34</v>
      </c>
      <c r="Q14" s="16"/>
      <c r="R14" s="10">
        <v>313</v>
      </c>
      <c r="S14" s="17">
        <v>167</v>
      </c>
      <c r="T14" s="16">
        <v>28</v>
      </c>
      <c r="U14" s="10">
        <v>106</v>
      </c>
      <c r="V14" s="17">
        <v>189</v>
      </c>
    </row>
    <row r="15" spans="1:23" x14ac:dyDescent="0.25">
      <c r="A15" s="9"/>
      <c r="B15" s="9"/>
      <c r="C15" s="10">
        <v>2003</v>
      </c>
      <c r="D15" s="11">
        <v>356.25</v>
      </c>
      <c r="E15" s="11">
        <v>1.96</v>
      </c>
      <c r="F15" s="11">
        <v>7.29</v>
      </c>
      <c r="G15" s="11">
        <v>8.3800000000000008</v>
      </c>
      <c r="H15" s="10">
        <v>18</v>
      </c>
      <c r="I15" s="11">
        <v>6.2301369863013702</v>
      </c>
      <c r="J15" s="11">
        <v>54.47</v>
      </c>
      <c r="K15" s="10">
        <v>2</v>
      </c>
      <c r="L15" s="10" t="s">
        <v>42</v>
      </c>
      <c r="M15" s="10" t="s">
        <v>32</v>
      </c>
      <c r="N15" s="10" t="s">
        <v>43</v>
      </c>
      <c r="O15" s="10" t="s">
        <v>34</v>
      </c>
      <c r="Q15" s="16"/>
      <c r="R15" s="10">
        <v>314</v>
      </c>
      <c r="S15" s="17">
        <v>163</v>
      </c>
      <c r="T15" s="16"/>
      <c r="U15" s="10">
        <v>113</v>
      </c>
      <c r="V15" s="17">
        <v>165</v>
      </c>
    </row>
    <row r="16" spans="1:23" x14ac:dyDescent="0.25">
      <c r="A16" s="9"/>
      <c r="B16" s="9"/>
      <c r="C16" s="10">
        <v>2007</v>
      </c>
      <c r="D16" s="11">
        <v>606.25</v>
      </c>
      <c r="E16" s="11">
        <v>5.39</v>
      </c>
      <c r="F16" s="11">
        <v>9.41</v>
      </c>
      <c r="G16" s="11">
        <v>10.64</v>
      </c>
      <c r="H16" s="10">
        <v>19</v>
      </c>
      <c r="I16" s="11">
        <v>6.1780821917808204</v>
      </c>
      <c r="J16" s="11">
        <v>46.87</v>
      </c>
      <c r="K16" s="10">
        <v>2</v>
      </c>
      <c r="L16" s="10" t="s">
        <v>42</v>
      </c>
      <c r="M16" s="10" t="s">
        <v>32</v>
      </c>
      <c r="N16" s="10" t="s">
        <v>43</v>
      </c>
      <c r="O16" s="10" t="s">
        <v>34</v>
      </c>
      <c r="Q16" s="12"/>
      <c r="R16" s="13">
        <v>315</v>
      </c>
      <c r="S16" s="18">
        <v>174</v>
      </c>
      <c r="T16" s="16"/>
      <c r="U16" s="10">
        <v>138</v>
      </c>
      <c r="V16" s="17">
        <v>171</v>
      </c>
    </row>
    <row r="17" spans="1:22" x14ac:dyDescent="0.25">
      <c r="A17" s="9"/>
      <c r="B17" s="9"/>
      <c r="C17" s="10">
        <v>2012</v>
      </c>
      <c r="D17" s="11">
        <v>225</v>
      </c>
      <c r="E17" s="11">
        <v>0.79</v>
      </c>
      <c r="F17" s="11">
        <v>6.31</v>
      </c>
      <c r="G17" s="11">
        <v>6.67</v>
      </c>
      <c r="H17" s="10">
        <v>26</v>
      </c>
      <c r="I17" s="11">
        <v>3.3506849315068501</v>
      </c>
      <c r="J17" s="11">
        <v>27.87</v>
      </c>
      <c r="K17" s="10">
        <v>1</v>
      </c>
      <c r="L17" s="10" t="s">
        <v>31</v>
      </c>
      <c r="M17" s="10" t="s">
        <v>40</v>
      </c>
      <c r="N17" s="10" t="s">
        <v>33</v>
      </c>
      <c r="O17" s="10" t="s">
        <v>34</v>
      </c>
      <c r="Q17" s="16">
        <v>15</v>
      </c>
      <c r="R17" s="10">
        <v>320</v>
      </c>
      <c r="S17" s="17">
        <v>342</v>
      </c>
      <c r="T17" s="16"/>
      <c r="U17" s="10">
        <v>145</v>
      </c>
      <c r="V17" s="17">
        <v>159</v>
      </c>
    </row>
    <row r="18" spans="1:22" x14ac:dyDescent="0.25">
      <c r="A18" s="9"/>
      <c r="B18" s="9"/>
      <c r="C18" s="10">
        <v>2017</v>
      </c>
      <c r="D18" s="11">
        <v>343.75</v>
      </c>
      <c r="E18" s="11">
        <v>5.34</v>
      </c>
      <c r="F18" s="11">
        <v>13.62</v>
      </c>
      <c r="G18" s="11">
        <v>14.07</v>
      </c>
      <c r="H18" s="10">
        <v>27</v>
      </c>
      <c r="I18" s="11">
        <v>5.8520547945205497</v>
      </c>
      <c r="J18" s="11">
        <v>55.48</v>
      </c>
      <c r="K18" s="10">
        <v>2</v>
      </c>
      <c r="L18" s="10" t="s">
        <v>44</v>
      </c>
      <c r="M18" s="10" t="s">
        <v>32</v>
      </c>
      <c r="N18" s="10" t="s">
        <v>43</v>
      </c>
      <c r="O18" s="10" t="s">
        <v>45</v>
      </c>
      <c r="Q18" s="16"/>
      <c r="R18" s="10">
        <v>325</v>
      </c>
      <c r="S18" s="17">
        <v>322</v>
      </c>
      <c r="T18" s="16"/>
      <c r="U18" s="10">
        <v>209</v>
      </c>
      <c r="V18" s="17">
        <v>168</v>
      </c>
    </row>
    <row r="19" spans="1:22" x14ac:dyDescent="0.25">
      <c r="A19" s="9"/>
      <c r="B19" s="9"/>
      <c r="C19" s="10">
        <v>2020</v>
      </c>
      <c r="D19" s="11">
        <v>387.5</v>
      </c>
      <c r="E19" s="11">
        <v>2.72</v>
      </c>
      <c r="F19" s="11">
        <v>9.4</v>
      </c>
      <c r="G19" s="11">
        <v>9.4600000000000009</v>
      </c>
      <c r="H19" s="10">
        <v>28</v>
      </c>
      <c r="I19" s="11">
        <v>3.1452054794520499</v>
      </c>
      <c r="J19" s="11">
        <v>51.42</v>
      </c>
      <c r="K19" s="10">
        <v>1</v>
      </c>
      <c r="L19" s="10" t="s">
        <v>31</v>
      </c>
      <c r="M19" s="10" t="s">
        <v>40</v>
      </c>
      <c r="N19" s="10" t="s">
        <v>33</v>
      </c>
      <c r="O19" s="10" t="s">
        <v>34</v>
      </c>
      <c r="Q19" s="12"/>
      <c r="R19" s="13">
        <v>327</v>
      </c>
      <c r="S19" s="18">
        <v>341</v>
      </c>
      <c r="T19" s="12"/>
      <c r="U19" s="13">
        <v>311</v>
      </c>
      <c r="V19" s="18">
        <v>142</v>
      </c>
    </row>
    <row r="20" spans="1:22" x14ac:dyDescent="0.25">
      <c r="A20" s="9"/>
      <c r="B20" s="9"/>
      <c r="C20" s="10">
        <v>3009</v>
      </c>
      <c r="D20" s="11">
        <v>281.25</v>
      </c>
      <c r="E20" s="11">
        <v>1.48</v>
      </c>
      <c r="F20" s="11">
        <v>7.94</v>
      </c>
      <c r="G20" s="11">
        <v>8.19</v>
      </c>
      <c r="H20" s="10">
        <v>29</v>
      </c>
      <c r="I20" s="11">
        <v>3.1068493150684899</v>
      </c>
      <c r="J20" s="11">
        <v>80.09</v>
      </c>
      <c r="K20" s="10">
        <v>1</v>
      </c>
      <c r="L20" s="10" t="s">
        <v>31</v>
      </c>
      <c r="M20" s="10" t="s">
        <v>40</v>
      </c>
      <c r="N20" s="10" t="s">
        <v>33</v>
      </c>
      <c r="O20" s="10" t="s">
        <v>34</v>
      </c>
      <c r="Q20" s="16">
        <v>16</v>
      </c>
      <c r="R20" s="10">
        <v>329</v>
      </c>
      <c r="S20" s="17">
        <v>325</v>
      </c>
      <c r="T20" s="16">
        <v>29</v>
      </c>
      <c r="U20" s="10">
        <v>112</v>
      </c>
      <c r="V20" s="17">
        <v>173</v>
      </c>
    </row>
    <row r="21" spans="1:22" x14ac:dyDescent="0.25">
      <c r="A21" s="15"/>
      <c r="B21" s="15"/>
      <c r="C21" s="13">
        <v>3042</v>
      </c>
      <c r="D21" s="19">
        <v>218.75</v>
      </c>
      <c r="E21" s="19">
        <v>0.98</v>
      </c>
      <c r="F21" s="19">
        <v>7.25</v>
      </c>
      <c r="G21" s="19">
        <v>7.54</v>
      </c>
      <c r="H21" s="10">
        <v>30</v>
      </c>
      <c r="I21" s="11">
        <v>2.7616438356164399</v>
      </c>
      <c r="J21" s="11">
        <v>44.7</v>
      </c>
      <c r="K21" s="10">
        <v>1</v>
      </c>
      <c r="L21" s="10" t="s">
        <v>46</v>
      </c>
      <c r="M21" s="10" t="s">
        <v>32</v>
      </c>
      <c r="N21" s="10" t="s">
        <v>33</v>
      </c>
      <c r="O21" s="10" t="s">
        <v>34</v>
      </c>
      <c r="Q21" s="16"/>
      <c r="R21" s="10">
        <v>333</v>
      </c>
      <c r="S21" s="17">
        <v>320</v>
      </c>
      <c r="T21" s="16"/>
      <c r="U21" s="10">
        <v>115</v>
      </c>
      <c r="V21" s="17">
        <v>171</v>
      </c>
    </row>
    <row r="22" spans="1:22" ht="12.75" customHeight="1" x14ac:dyDescent="0.25">
      <c r="A22" s="9" t="s">
        <v>47</v>
      </c>
      <c r="B22" s="9">
        <v>559.93600000000004</v>
      </c>
      <c r="C22" s="10">
        <v>1002</v>
      </c>
      <c r="D22" s="11">
        <v>181.25</v>
      </c>
      <c r="E22" s="11">
        <v>0.74</v>
      </c>
      <c r="F22" s="11">
        <v>6.8</v>
      </c>
      <c r="G22" s="11">
        <v>7.19</v>
      </c>
      <c r="H22" s="10">
        <v>31</v>
      </c>
      <c r="I22" s="11">
        <v>2.7561643835616398</v>
      </c>
      <c r="J22" s="11">
        <v>26.34</v>
      </c>
      <c r="K22" s="10">
        <v>1</v>
      </c>
      <c r="L22" s="10" t="s">
        <v>46</v>
      </c>
      <c r="M22" s="10" t="s">
        <v>32</v>
      </c>
      <c r="N22" s="10" t="s">
        <v>33</v>
      </c>
      <c r="O22" s="10" t="s">
        <v>34</v>
      </c>
      <c r="Q22" s="16"/>
      <c r="R22" s="10">
        <v>336</v>
      </c>
      <c r="S22" s="17">
        <v>306</v>
      </c>
      <c r="T22" s="16"/>
      <c r="U22" s="10">
        <v>118</v>
      </c>
      <c r="V22" s="17">
        <v>176</v>
      </c>
    </row>
    <row r="23" spans="1:22" x14ac:dyDescent="0.25">
      <c r="A23" s="9"/>
      <c r="B23" s="9"/>
      <c r="C23" s="10">
        <v>1026</v>
      </c>
      <c r="D23" s="11">
        <v>200</v>
      </c>
      <c r="E23" s="11">
        <v>1.18</v>
      </c>
      <c r="F23" s="11">
        <v>5.72</v>
      </c>
      <c r="G23" s="11">
        <v>8.67</v>
      </c>
      <c r="H23" s="13">
        <v>32</v>
      </c>
      <c r="I23" s="19">
        <v>2.8054794520547901</v>
      </c>
      <c r="J23" s="19">
        <v>11.03</v>
      </c>
      <c r="K23" s="13">
        <v>1</v>
      </c>
      <c r="L23" s="13" t="s">
        <v>46</v>
      </c>
      <c r="M23" s="13" t="s">
        <v>32</v>
      </c>
      <c r="N23" s="13" t="s">
        <v>33</v>
      </c>
      <c r="O23" s="13" t="s">
        <v>34</v>
      </c>
      <c r="Q23" s="12"/>
      <c r="R23" s="13">
        <v>337</v>
      </c>
      <c r="S23" s="18">
        <v>324</v>
      </c>
      <c r="T23" s="16"/>
      <c r="U23" s="10">
        <v>121</v>
      </c>
      <c r="V23" s="17">
        <v>178</v>
      </c>
    </row>
    <row r="24" spans="1:22" x14ac:dyDescent="0.25">
      <c r="A24" s="9"/>
      <c r="B24" s="9"/>
      <c r="C24" s="10">
        <v>1028</v>
      </c>
      <c r="D24" s="11">
        <v>137.5</v>
      </c>
      <c r="E24" s="11">
        <v>0.76</v>
      </c>
      <c r="F24" s="11">
        <v>8.02</v>
      </c>
      <c r="G24" s="11">
        <v>8.41</v>
      </c>
      <c r="Q24" s="16">
        <v>17</v>
      </c>
      <c r="R24" s="10">
        <v>331</v>
      </c>
      <c r="S24" s="17">
        <v>317</v>
      </c>
      <c r="T24" s="16"/>
      <c r="U24" s="10">
        <v>123</v>
      </c>
      <c r="V24" s="17">
        <v>187</v>
      </c>
    </row>
    <row r="25" spans="1:22" x14ac:dyDescent="0.25">
      <c r="A25" s="9"/>
      <c r="B25" s="9"/>
      <c r="C25" s="10">
        <v>2013</v>
      </c>
      <c r="D25" s="11">
        <v>168.75</v>
      </c>
      <c r="E25" s="11">
        <v>0.55000000000000004</v>
      </c>
      <c r="F25" s="11">
        <v>6.27</v>
      </c>
      <c r="G25" s="11">
        <v>6.42</v>
      </c>
      <c r="L25" s="9"/>
      <c r="M25" s="9"/>
      <c r="N25" s="20"/>
      <c r="Q25" s="16"/>
      <c r="R25" s="10">
        <v>332</v>
      </c>
      <c r="S25" s="17">
        <v>342</v>
      </c>
      <c r="T25" s="16"/>
      <c r="U25" s="10">
        <v>125</v>
      </c>
      <c r="V25" s="17">
        <v>185</v>
      </c>
    </row>
    <row r="26" spans="1:22" x14ac:dyDescent="0.25">
      <c r="A26" s="9"/>
      <c r="B26" s="9"/>
      <c r="C26" s="10">
        <v>3004</v>
      </c>
      <c r="D26" s="11">
        <v>131.25</v>
      </c>
      <c r="E26" s="11">
        <v>0.52</v>
      </c>
      <c r="F26" s="11">
        <v>6.56</v>
      </c>
      <c r="G26" s="11">
        <v>7.1</v>
      </c>
      <c r="H26" s="55" t="s">
        <v>11</v>
      </c>
      <c r="I26" s="56" t="s">
        <v>96</v>
      </c>
      <c r="J26" s="56" t="s">
        <v>18</v>
      </c>
      <c r="K26" s="57" t="s">
        <v>97</v>
      </c>
      <c r="Q26" s="16"/>
      <c r="R26" s="10">
        <v>334</v>
      </c>
      <c r="S26" s="17">
        <v>313</v>
      </c>
      <c r="T26" s="16"/>
      <c r="U26" s="10">
        <v>231</v>
      </c>
      <c r="V26" s="17">
        <v>185</v>
      </c>
    </row>
    <row r="27" spans="1:22" x14ac:dyDescent="0.25">
      <c r="A27" s="21"/>
      <c r="B27" s="21"/>
      <c r="C27" s="22">
        <v>4002</v>
      </c>
      <c r="D27" s="23">
        <v>200</v>
      </c>
      <c r="E27" s="23">
        <v>0.66</v>
      </c>
      <c r="F27" s="23">
        <v>6.21</v>
      </c>
      <c r="G27" s="23">
        <v>6.49</v>
      </c>
      <c r="H27" s="58" t="s">
        <v>41</v>
      </c>
      <c r="I27" s="59" t="s">
        <v>100</v>
      </c>
      <c r="J27" s="59">
        <v>27</v>
      </c>
      <c r="K27" s="60">
        <v>55.48</v>
      </c>
      <c r="Q27" s="16"/>
      <c r="R27" s="10">
        <v>335</v>
      </c>
      <c r="S27" s="17">
        <v>369</v>
      </c>
      <c r="T27" s="16"/>
      <c r="U27" s="10">
        <v>300</v>
      </c>
      <c r="V27" s="17">
        <v>127</v>
      </c>
    </row>
    <row r="28" spans="1:22" x14ac:dyDescent="0.25">
      <c r="A28" s="24"/>
      <c r="B28" s="24"/>
      <c r="C28" s="13">
        <v>4010</v>
      </c>
      <c r="D28" s="19">
        <v>143.75</v>
      </c>
      <c r="E28" s="19">
        <v>0.96</v>
      </c>
      <c r="F28" s="19">
        <v>3.93</v>
      </c>
      <c r="G28" s="19">
        <v>9.2200000000000006</v>
      </c>
      <c r="H28" s="58" t="s">
        <v>47</v>
      </c>
      <c r="I28" s="61" t="s">
        <v>101</v>
      </c>
      <c r="J28" s="59">
        <v>11</v>
      </c>
      <c r="K28" s="60">
        <v>26.06</v>
      </c>
      <c r="Q28" s="12"/>
      <c r="R28" s="13">
        <v>339</v>
      </c>
      <c r="S28" s="18">
        <v>300</v>
      </c>
      <c r="T28" s="16"/>
      <c r="U28" s="10">
        <v>301</v>
      </c>
      <c r="V28" s="17">
        <v>180</v>
      </c>
    </row>
    <row r="29" spans="1:22" x14ac:dyDescent="0.25">
      <c r="A29" s="9" t="s">
        <v>48</v>
      </c>
      <c r="B29" s="9">
        <v>552.92899999999997</v>
      </c>
      <c r="C29" s="10">
        <v>1025</v>
      </c>
      <c r="D29" s="11">
        <v>112.5</v>
      </c>
      <c r="E29" s="11">
        <v>0.87</v>
      </c>
      <c r="F29" s="11">
        <v>4.3</v>
      </c>
      <c r="G29" s="11">
        <v>9.91</v>
      </c>
      <c r="H29" s="58" t="s">
        <v>48</v>
      </c>
      <c r="I29" s="61" t="s">
        <v>102</v>
      </c>
      <c r="J29" s="61" t="s">
        <v>98</v>
      </c>
      <c r="K29" s="60">
        <f>J12+J13+J14+J15+J16</f>
        <v>189.34</v>
      </c>
      <c r="Q29" s="16">
        <v>18</v>
      </c>
      <c r="R29" s="10">
        <v>338</v>
      </c>
      <c r="S29" s="17">
        <v>242</v>
      </c>
      <c r="T29" s="12"/>
      <c r="U29" s="13">
        <v>302</v>
      </c>
      <c r="V29" s="18">
        <v>188</v>
      </c>
    </row>
    <row r="30" spans="1:22" x14ac:dyDescent="0.25">
      <c r="C30" s="10">
        <v>1029</v>
      </c>
      <c r="D30" s="11">
        <v>125</v>
      </c>
      <c r="E30" s="11">
        <v>1.05</v>
      </c>
      <c r="F30" s="11">
        <v>3.43</v>
      </c>
      <c r="G30" s="11">
        <v>10.37</v>
      </c>
      <c r="H30" s="58" t="s">
        <v>49</v>
      </c>
      <c r="I30" s="61" t="s">
        <v>103</v>
      </c>
      <c r="J30" s="59" t="s">
        <v>99</v>
      </c>
      <c r="K30" s="60">
        <f>J21+J22+J23</f>
        <v>82.070000000000007</v>
      </c>
      <c r="Q30" s="16"/>
      <c r="R30" s="10">
        <v>340</v>
      </c>
      <c r="S30" s="17">
        <v>349</v>
      </c>
      <c r="T30" s="16">
        <v>30</v>
      </c>
      <c r="U30" s="10">
        <v>136</v>
      </c>
      <c r="V30" s="17">
        <v>125</v>
      </c>
    </row>
    <row r="31" spans="1:22" x14ac:dyDescent="0.25">
      <c r="A31" s="9"/>
      <c r="B31" s="9"/>
      <c r="C31" s="10">
        <v>1031</v>
      </c>
      <c r="D31" s="11">
        <v>125</v>
      </c>
      <c r="E31" s="11">
        <v>1.31</v>
      </c>
      <c r="F31" s="11">
        <v>2.95</v>
      </c>
      <c r="G31" s="11">
        <v>11.57</v>
      </c>
      <c r="H31" s="62" t="s">
        <v>55</v>
      </c>
      <c r="I31" s="63" t="s">
        <v>40</v>
      </c>
      <c r="J31" s="64" t="s">
        <v>104</v>
      </c>
      <c r="K31" s="65">
        <f>J10+J11+J17+J19+J20</f>
        <v>212.84</v>
      </c>
      <c r="Q31" s="16"/>
      <c r="R31" s="10">
        <v>342</v>
      </c>
      <c r="S31" s="17">
        <v>345</v>
      </c>
      <c r="T31" s="16"/>
      <c r="U31" s="10">
        <v>141</v>
      </c>
      <c r="V31" s="17">
        <v>127</v>
      </c>
    </row>
    <row r="32" spans="1:22" x14ac:dyDescent="0.25">
      <c r="A32" s="9"/>
      <c r="B32" s="9"/>
      <c r="C32" s="10">
        <v>2026</v>
      </c>
      <c r="D32" s="11">
        <v>93.75</v>
      </c>
      <c r="E32" s="11">
        <v>0.28999999999999998</v>
      </c>
      <c r="F32" s="11">
        <v>6.14</v>
      </c>
      <c r="G32" s="11">
        <v>6.28</v>
      </c>
      <c r="Q32" s="16"/>
      <c r="R32" s="10">
        <v>343</v>
      </c>
      <c r="S32" s="17">
        <v>281</v>
      </c>
      <c r="T32" s="16"/>
      <c r="U32" s="10">
        <v>149</v>
      </c>
      <c r="V32" s="17">
        <v>147</v>
      </c>
    </row>
    <row r="33" spans="1:28" x14ac:dyDescent="0.25">
      <c r="A33" s="9"/>
      <c r="B33" s="9"/>
      <c r="C33" s="10">
        <v>2037</v>
      </c>
      <c r="D33" s="11">
        <v>100</v>
      </c>
      <c r="E33" s="11">
        <v>0.49</v>
      </c>
      <c r="F33" s="11">
        <v>7.27</v>
      </c>
      <c r="G33" s="11">
        <v>7.89</v>
      </c>
      <c r="Q33" s="16"/>
      <c r="R33" s="10">
        <v>347</v>
      </c>
      <c r="S33" s="17">
        <v>325</v>
      </c>
      <c r="T33" s="16"/>
      <c r="U33" s="10">
        <v>151</v>
      </c>
      <c r="V33" s="17">
        <v>137</v>
      </c>
    </row>
    <row r="34" spans="1:28" x14ac:dyDescent="0.25">
      <c r="A34" s="15"/>
      <c r="B34" s="15"/>
      <c r="C34" s="13">
        <v>4011</v>
      </c>
      <c r="D34" s="19">
        <v>112.5</v>
      </c>
      <c r="E34" s="19">
        <v>0.35</v>
      </c>
      <c r="F34" s="19">
        <v>6.57</v>
      </c>
      <c r="G34" s="19">
        <v>6.26</v>
      </c>
      <c r="Q34" s="12"/>
      <c r="R34" s="13">
        <v>348</v>
      </c>
      <c r="S34" s="18">
        <v>296</v>
      </c>
      <c r="T34" s="16"/>
      <c r="U34" s="10">
        <v>305</v>
      </c>
      <c r="V34" s="17">
        <v>134</v>
      </c>
    </row>
    <row r="35" spans="1:28" x14ac:dyDescent="0.25">
      <c r="A35" s="9" t="s">
        <v>49</v>
      </c>
      <c r="B35" s="9">
        <v>753.23500000000001</v>
      </c>
      <c r="C35" s="10">
        <v>1003</v>
      </c>
      <c r="D35" s="11">
        <v>87.5</v>
      </c>
      <c r="E35" s="11">
        <v>0.34</v>
      </c>
      <c r="F35" s="11">
        <v>7.55</v>
      </c>
      <c r="G35" s="11">
        <v>7.03</v>
      </c>
      <c r="Q35" s="16">
        <v>19</v>
      </c>
      <c r="R35" s="10">
        <v>341</v>
      </c>
      <c r="S35" s="17">
        <v>319</v>
      </c>
      <c r="T35" s="12"/>
      <c r="U35" s="13">
        <v>306</v>
      </c>
      <c r="V35" s="18">
        <v>129</v>
      </c>
    </row>
    <row r="36" spans="1:28" x14ac:dyDescent="0.25">
      <c r="C36" s="10">
        <v>2029</v>
      </c>
      <c r="D36" s="11">
        <v>37.5</v>
      </c>
      <c r="E36" s="11">
        <v>0.11</v>
      </c>
      <c r="F36" s="11">
        <v>5.99</v>
      </c>
      <c r="G36" s="11">
        <v>6.05</v>
      </c>
      <c r="Q36" s="16"/>
      <c r="R36" s="10">
        <v>344</v>
      </c>
      <c r="S36" s="17">
        <v>320</v>
      </c>
      <c r="T36" s="16">
        <v>31</v>
      </c>
      <c r="U36" s="10">
        <v>156</v>
      </c>
      <c r="V36" s="17">
        <v>127</v>
      </c>
    </row>
    <row r="37" spans="1:28" x14ac:dyDescent="0.25">
      <c r="A37" s="9"/>
      <c r="B37" s="9"/>
      <c r="C37" s="10">
        <v>2035</v>
      </c>
      <c r="D37" s="11">
        <v>50</v>
      </c>
      <c r="E37" s="11">
        <v>0.14000000000000001</v>
      </c>
      <c r="F37" s="11">
        <v>5.86</v>
      </c>
      <c r="G37" s="11">
        <v>5.91</v>
      </c>
      <c r="Q37" s="16"/>
      <c r="R37" s="10">
        <v>345</v>
      </c>
      <c r="S37" s="17">
        <v>268</v>
      </c>
      <c r="T37" s="16"/>
      <c r="U37" s="10">
        <v>160</v>
      </c>
      <c r="V37" s="17">
        <v>135</v>
      </c>
    </row>
    <row r="38" spans="1:28" x14ac:dyDescent="0.25">
      <c r="A38" s="9"/>
      <c r="B38" s="9"/>
      <c r="C38" s="10">
        <v>3039</v>
      </c>
      <c r="D38" s="11">
        <v>6.25</v>
      </c>
      <c r="E38" s="11">
        <v>0.02</v>
      </c>
      <c r="F38" s="11">
        <v>5.7</v>
      </c>
      <c r="G38" s="11">
        <v>5.7</v>
      </c>
      <c r="Q38" s="16"/>
      <c r="R38" s="10">
        <v>346</v>
      </c>
      <c r="S38" s="17">
        <v>254</v>
      </c>
      <c r="T38" s="16"/>
      <c r="U38" s="10">
        <v>307</v>
      </c>
      <c r="V38" s="17">
        <v>139</v>
      </c>
    </row>
    <row r="39" spans="1:28" x14ac:dyDescent="0.25">
      <c r="A39" s="9"/>
      <c r="B39" s="9"/>
      <c r="C39" s="10">
        <v>3063</v>
      </c>
      <c r="D39" s="11">
        <v>68.75</v>
      </c>
      <c r="E39" s="11">
        <v>0.24</v>
      </c>
      <c r="F39" s="11">
        <v>6.25</v>
      </c>
      <c r="G39" s="11">
        <v>6.64</v>
      </c>
      <c r="Q39" s="16"/>
      <c r="R39" s="10">
        <v>349</v>
      </c>
      <c r="S39" s="17">
        <v>362</v>
      </c>
      <c r="T39" s="12"/>
      <c r="U39" s="13">
        <v>308</v>
      </c>
      <c r="V39" s="18">
        <v>127</v>
      </c>
    </row>
    <row r="40" spans="1:28" x14ac:dyDescent="0.25">
      <c r="A40" s="21"/>
      <c r="B40" s="21"/>
      <c r="C40" s="10">
        <v>4009</v>
      </c>
      <c r="D40" s="11">
        <v>56.25</v>
      </c>
      <c r="E40" s="11">
        <v>0.13</v>
      </c>
      <c r="F40" s="11">
        <v>5.47</v>
      </c>
      <c r="G40" s="11">
        <v>5.4</v>
      </c>
      <c r="Q40" s="16"/>
      <c r="R40" s="10">
        <v>351</v>
      </c>
      <c r="S40" s="17">
        <v>335</v>
      </c>
      <c r="T40" s="16">
        <v>32</v>
      </c>
      <c r="U40" s="10">
        <v>163</v>
      </c>
      <c r="V40" s="17">
        <v>148</v>
      </c>
    </row>
    <row r="41" spans="1:28" x14ac:dyDescent="0.25">
      <c r="C41" s="10">
        <v>4014</v>
      </c>
      <c r="D41" s="11">
        <v>18.75</v>
      </c>
      <c r="E41" s="11">
        <v>0.04</v>
      </c>
      <c r="F41" s="11">
        <v>5.33</v>
      </c>
      <c r="G41" s="11">
        <v>5.36</v>
      </c>
      <c r="Q41" s="12"/>
      <c r="R41" s="13">
        <v>352</v>
      </c>
      <c r="S41" s="18">
        <v>297</v>
      </c>
      <c r="T41" s="12"/>
      <c r="U41" s="13">
        <v>167</v>
      </c>
      <c r="V41" s="18">
        <v>139</v>
      </c>
    </row>
    <row r="42" spans="1:28" x14ac:dyDescent="0.25">
      <c r="C42" s="22">
        <v>4016</v>
      </c>
      <c r="D42" s="23">
        <v>31.25</v>
      </c>
      <c r="E42" s="23">
        <v>0.08</v>
      </c>
      <c r="F42" s="23">
        <v>5.62</v>
      </c>
      <c r="G42" s="23">
        <v>5.69</v>
      </c>
      <c r="Q42" s="16">
        <v>26</v>
      </c>
      <c r="R42" s="10">
        <v>170</v>
      </c>
      <c r="S42" s="17">
        <v>167</v>
      </c>
      <c r="T42" s="25"/>
      <c r="V42" s="26"/>
    </row>
    <row r="43" spans="1:28" x14ac:dyDescent="0.25">
      <c r="C43" s="10">
        <v>4017</v>
      </c>
      <c r="D43" s="11">
        <v>37.5</v>
      </c>
      <c r="E43" s="11">
        <v>0.1</v>
      </c>
      <c r="F43" s="11">
        <v>5.61</v>
      </c>
      <c r="G43" s="11">
        <v>5.7</v>
      </c>
      <c r="Q43" s="16"/>
      <c r="R43" s="10">
        <v>176</v>
      </c>
      <c r="S43" s="17">
        <v>174</v>
      </c>
      <c r="T43" s="25"/>
      <c r="V43" s="26"/>
    </row>
    <row r="44" spans="1:28" x14ac:dyDescent="0.25">
      <c r="A44" s="24"/>
      <c r="B44" s="24"/>
      <c r="C44" s="13">
        <v>4018</v>
      </c>
      <c r="D44" s="19">
        <v>18.75</v>
      </c>
      <c r="E44" s="19">
        <v>0.04</v>
      </c>
      <c r="F44" s="19">
        <v>5.36</v>
      </c>
      <c r="G44" s="19">
        <v>5.37</v>
      </c>
      <c r="Q44" s="16"/>
      <c r="R44" s="10">
        <v>178</v>
      </c>
      <c r="S44" s="17">
        <v>167</v>
      </c>
      <c r="T44" s="25"/>
      <c r="V44" s="26"/>
    </row>
    <row r="45" spans="1:28" x14ac:dyDescent="0.25">
      <c r="A45" s="9" t="s">
        <v>50</v>
      </c>
      <c r="B45" s="9">
        <f>SUM(B11:B44)</f>
        <v>3200.0000000000005</v>
      </c>
      <c r="Q45" s="12"/>
      <c r="R45" s="13">
        <v>181</v>
      </c>
      <c r="S45" s="18">
        <v>165</v>
      </c>
      <c r="T45" s="25"/>
      <c r="U45" s="26"/>
      <c r="V45" s="26"/>
    </row>
    <row r="46" spans="1:28" ht="23.85" customHeight="1" x14ac:dyDescent="0.25">
      <c r="A46" s="27"/>
    </row>
    <row r="47" spans="1:28" ht="12.75" customHeight="1" x14ac:dyDescent="0.25">
      <c r="A47" s="2" t="s">
        <v>51</v>
      </c>
      <c r="B47" s="2"/>
      <c r="C47" s="2"/>
      <c r="D47" s="2"/>
      <c r="E47" s="2"/>
      <c r="F47" s="2"/>
      <c r="G47" s="2"/>
      <c r="Q47" s="28" t="s">
        <v>85</v>
      </c>
    </row>
    <row r="48" spans="1:28" ht="24.6" customHeight="1" x14ac:dyDescent="0.3">
      <c r="A48" s="2" t="s">
        <v>52</v>
      </c>
      <c r="B48" s="2"/>
      <c r="C48" s="2"/>
      <c r="D48" s="2"/>
      <c r="E48" s="2"/>
      <c r="F48" s="2"/>
      <c r="G48" s="2"/>
      <c r="Q48" t="s">
        <v>67</v>
      </c>
      <c r="R48" s="30" t="s">
        <v>11</v>
      </c>
      <c r="S48" s="31" t="s">
        <v>68</v>
      </c>
      <c r="T48" s="30" t="s">
        <v>69</v>
      </c>
      <c r="U48" s="30" t="s">
        <v>70</v>
      </c>
      <c r="V48" s="30" t="s">
        <v>71</v>
      </c>
      <c r="W48" s="30" t="s">
        <v>72</v>
      </c>
      <c r="X48" s="30" t="s">
        <v>73</v>
      </c>
      <c r="Y48" s="30" t="s">
        <v>74</v>
      </c>
      <c r="Z48" s="30" t="s">
        <v>75</v>
      </c>
      <c r="AA48" s="30" t="s">
        <v>76</v>
      </c>
      <c r="AB48" s="30" t="s">
        <v>77</v>
      </c>
    </row>
    <row r="49" spans="1:28" ht="24.6" customHeight="1" x14ac:dyDescent="0.25">
      <c r="A49" s="2" t="s">
        <v>53</v>
      </c>
      <c r="B49" s="2"/>
      <c r="C49" s="2"/>
      <c r="D49" s="2"/>
      <c r="E49" s="2"/>
      <c r="F49" s="2"/>
      <c r="G49" s="2"/>
      <c r="Q49">
        <f>4*540/10000</f>
        <v>0.216</v>
      </c>
      <c r="R49" s="10" t="s">
        <v>41</v>
      </c>
      <c r="S49" s="33">
        <v>55.48</v>
      </c>
      <c r="T49" s="10">
        <f>S49*10000/540</f>
        <v>1027.4074074074074</v>
      </c>
      <c r="U49" s="10">
        <v>4</v>
      </c>
      <c r="V49">
        <f>T49*(T49-U49)/U49</f>
        <v>262864.0877914952</v>
      </c>
      <c r="W49">
        <f>_xlfn.VAR.S(V10:V13)</f>
        <v>138.25</v>
      </c>
      <c r="X49">
        <f>SUM(V10:V13)/Q49</f>
        <v>7060.1851851851852</v>
      </c>
      <c r="Y49">
        <f>X49*T49</f>
        <v>7253686.5569272973</v>
      </c>
      <c r="Z49">
        <f>T49^2*W49/U49</f>
        <v>36482999.211248286</v>
      </c>
      <c r="AA49">
        <f>(V49*W49)</f>
        <v>36340960.137174211</v>
      </c>
      <c r="AB49">
        <f>AA49^2/(U49-1)</f>
        <v>440221794563895</v>
      </c>
    </row>
    <row r="50" spans="1:28" ht="24.6" customHeight="1" x14ac:dyDescent="0.25">
      <c r="A50" s="2" t="s">
        <v>54</v>
      </c>
      <c r="B50" s="2"/>
      <c r="C50" s="2"/>
      <c r="D50" s="2"/>
      <c r="E50" s="2"/>
      <c r="F50" s="2"/>
      <c r="G50" s="2"/>
      <c r="Q50">
        <f>2*540/10000</f>
        <v>0.108</v>
      </c>
      <c r="R50" s="10" t="s">
        <v>47</v>
      </c>
      <c r="S50" s="33">
        <v>26.06</v>
      </c>
      <c r="T50" s="10">
        <f t="shared" ref="T50:T53" si="0">S50*10000/540</f>
        <v>482.59259259259261</v>
      </c>
      <c r="U50" s="10">
        <v>2</v>
      </c>
      <c r="V50">
        <f t="shared" ref="V50:V53" si="1">T50*(T50-U50)/U50</f>
        <v>115965.21262002744</v>
      </c>
      <c r="W50">
        <f>_xlfn.VAR.S(S10:S11)</f>
        <v>180.5</v>
      </c>
      <c r="X50">
        <f>SUM(S10:S11)/Q50</f>
        <v>3138.8888888888891</v>
      </c>
      <c r="Y50">
        <f t="shared" ref="Y50:Y53" si="2">X50*T50</f>
        <v>1514804.5267489713</v>
      </c>
      <c r="Z50">
        <f t="shared" ref="Z50:Z53" si="3">T50^2*W50/U50</f>
        <v>21018828.840877917</v>
      </c>
      <c r="AA50">
        <f t="shared" ref="AA50:AA53" si="4">(V50*W50)</f>
        <v>20931720.877914954</v>
      </c>
      <c r="AB50">
        <f t="shared" ref="AB50:AB53" si="5">AA50^2/(U50-1)</f>
        <v>438136938910940.75</v>
      </c>
    </row>
    <row r="51" spans="1:28" x14ac:dyDescent="0.25">
      <c r="D51" s="5" t="s">
        <v>14</v>
      </c>
      <c r="E51" s="5" t="s">
        <v>15</v>
      </c>
      <c r="F51" s="5" t="s">
        <v>16</v>
      </c>
      <c r="G51" s="5" t="s">
        <v>17</v>
      </c>
      <c r="Q51">
        <f>25*540/10000</f>
        <v>1.35</v>
      </c>
      <c r="R51" s="10" t="s">
        <v>48</v>
      </c>
      <c r="S51" s="33">
        <f>R34+R35+R36+R37+R38</f>
        <v>1724</v>
      </c>
      <c r="T51" s="10">
        <f t="shared" si="0"/>
        <v>31925.925925925927</v>
      </c>
      <c r="U51" s="10">
        <v>25</v>
      </c>
      <c r="V51">
        <f t="shared" si="1"/>
        <v>40738663.923182443</v>
      </c>
      <c r="W51">
        <f>_xlfn.VAR.S(S17:S41)</f>
        <v>977.67333333333352</v>
      </c>
      <c r="X51">
        <f>SUM(S17:S41)/Q51</f>
        <v>5862.2222222222217</v>
      </c>
      <c r="Y51">
        <f t="shared" si="2"/>
        <v>187156872.42798352</v>
      </c>
      <c r="Z51">
        <f t="shared" si="3"/>
        <v>39860318479.743958</v>
      </c>
      <c r="AA51">
        <f t="shared" si="4"/>
        <v>39829105353.324196</v>
      </c>
      <c r="AB51">
        <f t="shared" si="5"/>
        <v>6.609823471859159E+19</v>
      </c>
    </row>
    <row r="52" spans="1:28" x14ac:dyDescent="0.25">
      <c r="A52" s="28" t="s">
        <v>65</v>
      </c>
      <c r="D52" s="9" t="s">
        <v>27</v>
      </c>
      <c r="E52" s="9" t="s">
        <v>28</v>
      </c>
      <c r="F52" s="9" t="s">
        <v>29</v>
      </c>
      <c r="G52" s="9" t="s">
        <v>30</v>
      </c>
      <c r="Q52">
        <f>12*540/10000</f>
        <v>0.64800000000000002</v>
      </c>
      <c r="R52" s="10" t="s">
        <v>49</v>
      </c>
      <c r="S52" s="33">
        <f>R43+R44+R45</f>
        <v>535</v>
      </c>
      <c r="T52" s="10">
        <f t="shared" si="0"/>
        <v>9907.4074074074069</v>
      </c>
      <c r="U52" s="10">
        <v>12</v>
      </c>
      <c r="V52">
        <f t="shared" si="1"/>
        <v>8169819.387288522</v>
      </c>
      <c r="W52">
        <f>_xlfn.VAR.S(V30:V41)</f>
        <v>61.363636363636367</v>
      </c>
      <c r="X52">
        <f>SUM(V30:V41)/Q52</f>
        <v>2490.7407407407409</v>
      </c>
      <c r="Y52">
        <f t="shared" si="2"/>
        <v>24676783.264746226</v>
      </c>
      <c r="Z52">
        <f t="shared" si="3"/>
        <v>501937780.58361387</v>
      </c>
      <c r="AA52">
        <f t="shared" si="4"/>
        <v>501329826.03815931</v>
      </c>
      <c r="AB52">
        <f t="shared" si="5"/>
        <v>2.2848326770495552E+16</v>
      </c>
    </row>
    <row r="53" spans="1:28" x14ac:dyDescent="0.25">
      <c r="A53" s="28" t="s">
        <v>41</v>
      </c>
      <c r="D53" s="15" t="s">
        <v>37</v>
      </c>
      <c r="E53" s="15" t="s">
        <v>38</v>
      </c>
      <c r="F53" s="15" t="s">
        <v>39</v>
      </c>
      <c r="G53" s="15" t="s">
        <v>39</v>
      </c>
      <c r="Q53">
        <f>25*540/10000</f>
        <v>1.35</v>
      </c>
      <c r="R53" s="10" t="s">
        <v>55</v>
      </c>
      <c r="S53" s="35">
        <f>R32+R33+R39+R41+R42</f>
        <v>1561</v>
      </c>
      <c r="T53" s="10">
        <f t="shared" si="0"/>
        <v>28907.407407407409</v>
      </c>
      <c r="U53" s="10">
        <v>25</v>
      </c>
      <c r="V53">
        <f t="shared" si="1"/>
        <v>33396620.713305902</v>
      </c>
      <c r="W53">
        <f>_xlfn.VAR.S(S12:S16,S42:S45,V14:V29)</f>
        <v>197.22666666666669</v>
      </c>
      <c r="X53">
        <f>SUM(S12:S16,S42:S45,V14:V29)/Q53</f>
        <v>3154.0740740740739</v>
      </c>
      <c r="Y53">
        <f t="shared" si="2"/>
        <v>91176104.252400547</v>
      </c>
      <c r="Z53">
        <f t="shared" si="3"/>
        <v>6592405492.8212185</v>
      </c>
      <c r="AA53">
        <f t="shared" si="4"/>
        <v>6586704181.216279</v>
      </c>
      <c r="AB53">
        <f t="shared" si="5"/>
        <v>1.8076946654521672E+18</v>
      </c>
    </row>
    <row r="54" spans="1:28" ht="14.4" x14ac:dyDescent="0.3">
      <c r="A54" s="29" t="s">
        <v>56</v>
      </c>
      <c r="D54">
        <v>11</v>
      </c>
      <c r="E54">
        <v>11</v>
      </c>
      <c r="F54">
        <v>11</v>
      </c>
      <c r="G54">
        <v>11</v>
      </c>
      <c r="R54" s="10" t="s">
        <v>78</v>
      </c>
      <c r="T54">
        <f>SUM(T49:T53)</f>
        <v>72250.740740740745</v>
      </c>
      <c r="X54" s="31">
        <f>Y54/T54</f>
        <v>4315.2256687245426</v>
      </c>
      <c r="Y54">
        <f>SUM(Y49:Y53)</f>
        <v>311778251.02880657</v>
      </c>
      <c r="Z54">
        <f t="shared" ref="Z54:AB54" si="6">SUM(Z49:Z53)</f>
        <v>47012163581.200912</v>
      </c>
      <c r="AA54">
        <f t="shared" si="6"/>
        <v>46974412041.593727</v>
      </c>
      <c r="AB54">
        <f t="shared" si="6"/>
        <v>6.7929656069547729E+19</v>
      </c>
    </row>
    <row r="55" spans="1:28" ht="14.4" x14ac:dyDescent="0.25">
      <c r="A55" s="37" t="s">
        <v>57</v>
      </c>
      <c r="B55" s="38"/>
      <c r="C55" s="38"/>
      <c r="D55" s="39">
        <f>MEDIAN(D11:D21)</f>
        <v>387.5</v>
      </c>
      <c r="E55" s="39">
        <f>MEDIAN(E11:E21)</f>
        <v>5.34</v>
      </c>
      <c r="F55" s="39">
        <f>MEDIAN(F11:F21)</f>
        <v>7.94</v>
      </c>
      <c r="G55" s="40">
        <f>MEDIAN(G11:G21)</f>
        <v>10.64</v>
      </c>
      <c r="W55" t="s">
        <v>79</v>
      </c>
      <c r="X55">
        <f>Z54/T54^2</f>
        <v>9.0058691087921012</v>
      </c>
    </row>
    <row r="56" spans="1:28" ht="14.4" x14ac:dyDescent="0.3">
      <c r="A56" s="29" t="s">
        <v>58</v>
      </c>
      <c r="D56">
        <f>_xlfn.VAR.S(D11:D21)</f>
        <v>82167.613636363618</v>
      </c>
      <c r="E56">
        <f t="shared" ref="E56:G56" si="7">_xlfn.VAR.S(E11:E21)</f>
        <v>14.095189090909106</v>
      </c>
      <c r="F56">
        <f t="shared" si="7"/>
        <v>5.2510472727272601</v>
      </c>
      <c r="G56">
        <f t="shared" si="7"/>
        <v>7.3210418181817882</v>
      </c>
      <c r="W56" s="31" t="s">
        <v>80</v>
      </c>
      <c r="X56" s="31">
        <f>AA54^2/AB54</f>
        <v>32.483535385403243</v>
      </c>
    </row>
    <row r="57" spans="1:28" x14ac:dyDescent="0.25">
      <c r="A57" s="29" t="s">
        <v>59</v>
      </c>
      <c r="D57">
        <f>D56^0.5/D55*100</f>
        <v>73.973919474794229</v>
      </c>
      <c r="E57">
        <f t="shared" ref="E57:G57" si="8">E56^0.5/E55*100</f>
        <v>70.306292424565086</v>
      </c>
      <c r="F57">
        <f t="shared" si="8"/>
        <v>28.860407679182597</v>
      </c>
      <c r="G57">
        <f t="shared" si="8"/>
        <v>25.429909571275903</v>
      </c>
      <c r="W57" t="s">
        <v>81</v>
      </c>
      <c r="X57">
        <v>2</v>
      </c>
    </row>
    <row r="58" spans="1:28" ht="14.4" x14ac:dyDescent="0.3">
      <c r="A58" s="29" t="s">
        <v>60</v>
      </c>
      <c r="D58">
        <f>D56/D54</f>
        <v>7469.7830578512376</v>
      </c>
      <c r="E58">
        <f t="shared" ref="E58:G58" si="9">E56/E54</f>
        <v>1.2813808264462823</v>
      </c>
      <c r="F58">
        <f t="shared" si="9"/>
        <v>0.47736793388429638</v>
      </c>
      <c r="G58">
        <f t="shared" si="9"/>
        <v>0.66554925619834437</v>
      </c>
      <c r="W58" s="47" t="s">
        <v>82</v>
      </c>
      <c r="X58" s="48">
        <f>X57*X55^5</f>
        <v>118483.57478453804</v>
      </c>
    </row>
    <row r="59" spans="1:28" ht="14.4" x14ac:dyDescent="0.3">
      <c r="A59" s="29" t="s">
        <v>61</v>
      </c>
      <c r="D59">
        <f>D58^0.5</f>
        <v>86.427906707563139</v>
      </c>
      <c r="E59">
        <f t="shared" ref="E59:G59" si="10">E58^0.5</f>
        <v>1.13198093024851</v>
      </c>
      <c r="F59">
        <f t="shared" si="10"/>
        <v>0.69091818175837316</v>
      </c>
      <c r="G59">
        <f t="shared" si="10"/>
        <v>0.8158120225875225</v>
      </c>
      <c r="W59" s="66" t="s">
        <v>83</v>
      </c>
      <c r="X59" s="67">
        <f>X58/X54*100</f>
        <v>2745.7098163665305</v>
      </c>
    </row>
    <row r="60" spans="1:28" x14ac:dyDescent="0.25">
      <c r="A60" s="29" t="s">
        <v>62</v>
      </c>
      <c r="D60">
        <f>_xlfn.T.INV(0.975,D54-1)</f>
        <v>2.2281388519862744</v>
      </c>
      <c r="E60">
        <f t="shared" ref="E60:G60" si="11">_xlfn.T.INV(0.975,E54-1)</f>
        <v>2.2281388519862744</v>
      </c>
      <c r="F60">
        <f t="shared" si="11"/>
        <v>2.2281388519862744</v>
      </c>
      <c r="G60">
        <f t="shared" si="11"/>
        <v>2.2281388519862744</v>
      </c>
    </row>
    <row r="61" spans="1:28" ht="14.4" x14ac:dyDescent="0.25">
      <c r="A61" s="41" t="s">
        <v>63</v>
      </c>
      <c r="B61" s="42"/>
      <c r="C61" s="42"/>
      <c r="D61" s="42">
        <f>D60*D59</f>
        <v>192.57337683096657</v>
      </c>
      <c r="E61" s="42">
        <f t="shared" ref="E61:G61" si="12">E60*E59</f>
        <v>2.52221069039427</v>
      </c>
      <c r="F61" s="42">
        <f t="shared" si="12"/>
        <v>1.5394616443195457</v>
      </c>
      <c r="G61" s="43">
        <f t="shared" si="12"/>
        <v>1.817742463444763</v>
      </c>
    </row>
    <row r="62" spans="1:28" x14ac:dyDescent="0.25">
      <c r="A62" s="44" t="s">
        <v>64</v>
      </c>
      <c r="B62" s="45"/>
      <c r="C62" s="45"/>
      <c r="D62" s="45">
        <f>D61/D55*100</f>
        <v>49.696355311217175</v>
      </c>
      <c r="E62" s="45">
        <f t="shared" ref="E62:G62" si="13">E61/E55*100</f>
        <v>47.232409932476969</v>
      </c>
      <c r="F62" s="45">
        <f t="shared" si="13"/>
        <v>19.388685696719719</v>
      </c>
      <c r="G62" s="46">
        <f t="shared" si="13"/>
        <v>17.084045709067318</v>
      </c>
    </row>
    <row r="63" spans="1:28" ht="14.4" x14ac:dyDescent="0.3">
      <c r="W63" s="36"/>
      <c r="X63" s="36"/>
    </row>
    <row r="64" spans="1:28" x14ac:dyDescent="0.25">
      <c r="A64" s="28" t="s">
        <v>47</v>
      </c>
      <c r="W64" s="34"/>
      <c r="X64" s="34"/>
    </row>
    <row r="65" spans="1:7" x14ac:dyDescent="0.25">
      <c r="A65" s="29" t="s">
        <v>56</v>
      </c>
      <c r="D65">
        <v>7</v>
      </c>
      <c r="E65">
        <v>7</v>
      </c>
      <c r="F65">
        <v>7</v>
      </c>
      <c r="G65">
        <v>7</v>
      </c>
    </row>
    <row r="66" spans="1:7" ht="14.4" x14ac:dyDescent="0.25">
      <c r="A66" s="37" t="s">
        <v>57</v>
      </c>
      <c r="B66" s="38"/>
      <c r="C66" s="38"/>
      <c r="D66" s="39">
        <f>MEDIAN(D22:D28)</f>
        <v>168.75</v>
      </c>
      <c r="E66" s="39">
        <f>MEDIAN(E22:E28)</f>
        <v>0.74</v>
      </c>
      <c r="F66" s="39">
        <f>MEDIAN(F22:F28)</f>
        <v>6.27</v>
      </c>
      <c r="G66" s="40">
        <f>MEDIAN(G22:G28)</f>
        <v>7.19</v>
      </c>
    </row>
    <row r="67" spans="1:7" x14ac:dyDescent="0.25">
      <c r="A67" s="29" t="s">
        <v>58</v>
      </c>
      <c r="D67">
        <f>_xlfn.VAR.S(D22:D28)</f>
        <v>844.49404761904827</v>
      </c>
      <c r="E67">
        <f t="shared" ref="E67:G67" si="14">_xlfn.VAR.S(E22:E28)</f>
        <v>5.4690476190476435E-2</v>
      </c>
      <c r="F67">
        <f t="shared" si="14"/>
        <v>1.5314285714285727</v>
      </c>
      <c r="G67">
        <f t="shared" si="14"/>
        <v>1.2425238095237983</v>
      </c>
    </row>
    <row r="68" spans="1:7" x14ac:dyDescent="0.25">
      <c r="A68" s="29" t="s">
        <v>59</v>
      </c>
      <c r="D68">
        <f>D67^0.5/D66*100</f>
        <v>17.220847264527901</v>
      </c>
      <c r="E68">
        <f t="shared" ref="E68:G68" si="15">E67^0.5/E66*100</f>
        <v>31.602695939148717</v>
      </c>
      <c r="F68">
        <f t="shared" si="15"/>
        <v>19.736985944595787</v>
      </c>
      <c r="G68">
        <f t="shared" si="15"/>
        <v>15.503275667041402</v>
      </c>
    </row>
    <row r="69" spans="1:7" x14ac:dyDescent="0.25">
      <c r="A69" s="29" t="s">
        <v>60</v>
      </c>
      <c r="D69">
        <f>D67/D65</f>
        <v>120.64200680272118</v>
      </c>
      <c r="E69">
        <f t="shared" ref="E69:G69" si="16">E67/E65</f>
        <v>7.8129251700680621E-3</v>
      </c>
      <c r="F69">
        <f t="shared" si="16"/>
        <v>0.21877551020408181</v>
      </c>
      <c r="G69">
        <f t="shared" si="16"/>
        <v>0.1775034013605426</v>
      </c>
    </row>
    <row r="70" spans="1:7" x14ac:dyDescent="0.25">
      <c r="A70" s="29" t="s">
        <v>61</v>
      </c>
      <c r="D70">
        <f>D69^0.5</f>
        <v>10.983715528122584</v>
      </c>
      <c r="E70">
        <f t="shared" ref="E70:G70" si="17">E69^0.5</f>
        <v>8.8390752740702822E-2</v>
      </c>
      <c r="F70">
        <f t="shared" si="17"/>
        <v>0.46773444410699733</v>
      </c>
      <c r="G70">
        <f t="shared" si="17"/>
        <v>0.42131152531178467</v>
      </c>
    </row>
    <row r="71" spans="1:7" x14ac:dyDescent="0.25">
      <c r="A71" s="29" t="s">
        <v>62</v>
      </c>
      <c r="D71">
        <f>_xlfn.T.INV(0.975,D65-1)</f>
        <v>2.4469118511449688</v>
      </c>
      <c r="E71">
        <f t="shared" ref="E71:G71" si="18">_xlfn.T.INV(0.975,E65-1)</f>
        <v>2.4469118511449688</v>
      </c>
      <c r="F71">
        <f t="shared" si="18"/>
        <v>2.4469118511449688</v>
      </c>
      <c r="G71">
        <f t="shared" si="18"/>
        <v>2.4469118511449688</v>
      </c>
    </row>
    <row r="72" spans="1:7" ht="14.4" x14ac:dyDescent="0.25">
      <c r="A72" s="41" t="s">
        <v>63</v>
      </c>
      <c r="B72" s="42"/>
      <c r="C72" s="42"/>
      <c r="D72" s="42">
        <f>D71*D70</f>
        <v>26.876183695368169</v>
      </c>
      <c r="E72" s="42">
        <f t="shared" ref="E72:G72" si="19">E71*E70</f>
        <v>0.21628438041285036</v>
      </c>
      <c r="F72" s="42">
        <f t="shared" si="19"/>
        <v>1.1445049544741157</v>
      </c>
      <c r="G72" s="43">
        <f t="shared" si="19"/>
        <v>1.0309121643093695</v>
      </c>
    </row>
    <row r="73" spans="1:7" x14ac:dyDescent="0.25">
      <c r="A73" s="44" t="s">
        <v>64</v>
      </c>
      <c r="B73" s="45"/>
      <c r="C73" s="45"/>
      <c r="D73" s="45">
        <f>D72/D66*100</f>
        <v>15.926627375032989</v>
      </c>
      <c r="E73" s="45">
        <f t="shared" ref="E73:G73" si="20">E72/E66*100</f>
        <v>29.227618974709507</v>
      </c>
      <c r="F73" s="45">
        <f t="shared" si="20"/>
        <v>18.253667535472339</v>
      </c>
      <c r="G73" s="46">
        <f t="shared" si="20"/>
        <v>14.338138585665778</v>
      </c>
    </row>
    <row r="75" spans="1:7" x14ac:dyDescent="0.25">
      <c r="A75" s="28" t="s">
        <v>48</v>
      </c>
    </row>
    <row r="76" spans="1:7" x14ac:dyDescent="0.25">
      <c r="A76" s="29" t="s">
        <v>56</v>
      </c>
      <c r="D76">
        <v>6</v>
      </c>
      <c r="E76">
        <v>6</v>
      </c>
      <c r="F76">
        <v>6</v>
      </c>
      <c r="G76">
        <v>6</v>
      </c>
    </row>
    <row r="77" spans="1:7" ht="14.4" x14ac:dyDescent="0.25">
      <c r="A77" s="37" t="s">
        <v>57</v>
      </c>
      <c r="B77" s="38"/>
      <c r="C77" s="38"/>
      <c r="D77" s="39">
        <f>MEDIAN(D29:D34)</f>
        <v>112.5</v>
      </c>
      <c r="E77" s="39">
        <f>MEDIAN(E29:E34)</f>
        <v>0.67999999999999994</v>
      </c>
      <c r="F77" s="39">
        <f>MEDIAN(F29:F34)</f>
        <v>5.22</v>
      </c>
      <c r="G77" s="40">
        <f>MEDIAN(G29:G34)</f>
        <v>8.9</v>
      </c>
    </row>
    <row r="78" spans="1:7" x14ac:dyDescent="0.25">
      <c r="A78" s="29" t="s">
        <v>58</v>
      </c>
      <c r="D78">
        <f>_xlfn.VAR.S(D29:D34)</f>
        <v>162.76041666666569</v>
      </c>
      <c r="E78">
        <f t="shared" ref="E78:G78" si="21">_xlfn.VAR.S(E29:E34)</f>
        <v>0.17078666666666678</v>
      </c>
      <c r="F78">
        <f t="shared" si="21"/>
        <v>3.2004399999999977</v>
      </c>
      <c r="G78">
        <f t="shared" si="21"/>
        <v>4.9909866666666627</v>
      </c>
    </row>
    <row r="79" spans="1:7" x14ac:dyDescent="0.25">
      <c r="A79" s="29" t="s">
        <v>59</v>
      </c>
      <c r="D79">
        <f>D78^0.5/D77*100</f>
        <v>11.340230290662827</v>
      </c>
      <c r="E79">
        <f t="shared" ref="E79:G79" si="22">E78^0.5/E77*100</f>
        <v>60.774034551469512</v>
      </c>
      <c r="F79">
        <f t="shared" si="22"/>
        <v>34.271596963818354</v>
      </c>
      <c r="G79">
        <f t="shared" si="22"/>
        <v>25.101703660490681</v>
      </c>
    </row>
    <row r="80" spans="1:7" x14ac:dyDescent="0.25">
      <c r="A80" s="29" t="s">
        <v>60</v>
      </c>
      <c r="D80">
        <f>D78/D76</f>
        <v>27.126736111110947</v>
      </c>
      <c r="E80">
        <f t="shared" ref="E80:G80" si="23">E78/E76</f>
        <v>2.8464444444444462E-2</v>
      </c>
      <c r="F80">
        <f t="shared" si="23"/>
        <v>0.53340666666666625</v>
      </c>
      <c r="G80">
        <f t="shared" si="23"/>
        <v>0.83183111111111041</v>
      </c>
    </row>
    <row r="81" spans="1:7" x14ac:dyDescent="0.25">
      <c r="A81" s="29" t="s">
        <v>61</v>
      </c>
      <c r="D81">
        <f>D80^0.5</f>
        <v>5.2083333333333179</v>
      </c>
      <c r="E81">
        <f t="shared" ref="E81:G81" si="24">E80^0.5</f>
        <v>0.16871409082955835</v>
      </c>
      <c r="F81">
        <f t="shared" si="24"/>
        <v>0.73034694951554791</v>
      </c>
      <c r="G81">
        <f t="shared" si="24"/>
        <v>0.91204775703419738</v>
      </c>
    </row>
    <row r="82" spans="1:7" x14ac:dyDescent="0.25">
      <c r="A82" s="29" t="s">
        <v>62</v>
      </c>
      <c r="D82">
        <f>_xlfn.T.INV(0.975,D76-1)</f>
        <v>2.570581835636315</v>
      </c>
      <c r="E82">
        <f t="shared" ref="E82:G82" si="25">_xlfn.T.INV(0.975,E76-1)</f>
        <v>2.570581835636315</v>
      </c>
      <c r="F82">
        <f t="shared" si="25"/>
        <v>2.570581835636315</v>
      </c>
      <c r="G82">
        <f t="shared" si="25"/>
        <v>2.570581835636315</v>
      </c>
    </row>
    <row r="83" spans="1:7" ht="14.4" x14ac:dyDescent="0.25">
      <c r="A83" s="41" t="s">
        <v>63</v>
      </c>
      <c r="B83" s="42"/>
      <c r="C83" s="42"/>
      <c r="D83" s="42">
        <f>D82*D81</f>
        <v>13.388447060605769</v>
      </c>
      <c r="E83" s="42">
        <f t="shared" ref="E83:G83" si="26">E82*E81</f>
        <v>0.43369337730235807</v>
      </c>
      <c r="F83" s="42">
        <f t="shared" si="26"/>
        <v>1.8774166021370602</v>
      </c>
      <c r="G83" s="43">
        <f t="shared" si="26"/>
        <v>2.3444933974649511</v>
      </c>
    </row>
    <row r="84" spans="1:7" x14ac:dyDescent="0.25">
      <c r="A84" s="44" t="s">
        <v>64</v>
      </c>
      <c r="B84" s="45"/>
      <c r="C84" s="45"/>
      <c r="D84" s="45">
        <f>D83/D77*100</f>
        <v>11.900841831649572</v>
      </c>
      <c r="E84" s="45">
        <f t="shared" ref="E84:G84" si="27">E83/E77*100</f>
        <v>63.778437838582079</v>
      </c>
      <c r="F84" s="45">
        <f t="shared" si="27"/>
        <v>35.965835289981996</v>
      </c>
      <c r="G84" s="46">
        <f t="shared" si="27"/>
        <v>26.342622443426418</v>
      </c>
    </row>
    <row r="86" spans="1:7" x14ac:dyDescent="0.25">
      <c r="A86" s="28" t="s">
        <v>49</v>
      </c>
    </row>
    <row r="87" spans="1:7" x14ac:dyDescent="0.25">
      <c r="A87" s="29" t="s">
        <v>56</v>
      </c>
      <c r="D87">
        <v>10</v>
      </c>
      <c r="E87">
        <v>10</v>
      </c>
      <c r="F87">
        <v>10</v>
      </c>
      <c r="G87">
        <v>10</v>
      </c>
    </row>
    <row r="88" spans="1:7" ht="14.4" x14ac:dyDescent="0.25">
      <c r="A88" s="37" t="s">
        <v>57</v>
      </c>
      <c r="B88" s="38"/>
      <c r="C88" s="38"/>
      <c r="D88" s="39">
        <f>MEDIAN(D35:D44)</f>
        <v>37.5</v>
      </c>
      <c r="E88" s="39">
        <f>MEDIAN(E35:E44)</f>
        <v>0.10500000000000001</v>
      </c>
      <c r="F88" s="39">
        <f>MEDIAN(F35:F44)</f>
        <v>5.66</v>
      </c>
      <c r="G88" s="40">
        <f>MEDIAN(G35:G44)</f>
        <v>5.7</v>
      </c>
    </row>
    <row r="89" spans="1:7" x14ac:dyDescent="0.25">
      <c r="A89" s="29" t="s">
        <v>58</v>
      </c>
      <c r="D89">
        <f>_xlfn.VAR.S(D35:D44)</f>
        <v>618.05555555555554</v>
      </c>
      <c r="E89">
        <f t="shared" ref="E89:G89" si="28">_xlfn.VAR.S(E35:E44)</f>
        <v>9.7822222222222165E-3</v>
      </c>
      <c r="F89">
        <f t="shared" si="28"/>
        <v>0.42798222222222648</v>
      </c>
      <c r="G89">
        <f t="shared" si="28"/>
        <v>0.310161111111111</v>
      </c>
    </row>
    <row r="90" spans="1:7" x14ac:dyDescent="0.25">
      <c r="A90" s="29" t="s">
        <v>59</v>
      </c>
      <c r="D90">
        <f>D89^0.5/D88*100</f>
        <v>66.295261734116878</v>
      </c>
      <c r="E90">
        <f t="shared" ref="E90:H90" si="29">E89^0.5/E88*100</f>
        <v>94.195349781095686</v>
      </c>
      <c r="F90">
        <f t="shared" si="29"/>
        <v>11.55836576232565</v>
      </c>
      <c r="G90">
        <f t="shared" si="29"/>
        <v>9.7705456059376381</v>
      </c>
    </row>
    <row r="91" spans="1:7" x14ac:dyDescent="0.25">
      <c r="A91" s="29" t="s">
        <v>60</v>
      </c>
      <c r="D91">
        <f>D89/D87</f>
        <v>61.805555555555557</v>
      </c>
      <c r="E91">
        <f t="shared" ref="E91:G91" si="30">E89/E87</f>
        <v>9.7822222222222169E-4</v>
      </c>
      <c r="F91">
        <f t="shared" si="30"/>
        <v>4.2798222222222647E-2</v>
      </c>
      <c r="G91">
        <f t="shared" si="30"/>
        <v>3.1016111111111098E-2</v>
      </c>
    </row>
    <row r="92" spans="1:7" x14ac:dyDescent="0.25">
      <c r="A92" s="29" t="s">
        <v>61</v>
      </c>
      <c r="D92">
        <f>D91^0.5</f>
        <v>7.8616509433805035</v>
      </c>
      <c r="E92">
        <f t="shared" ref="E92:G92" si="31">E91^0.5</f>
        <v>3.1276544281973059E-2</v>
      </c>
      <c r="F92">
        <f t="shared" si="31"/>
        <v>0.20687731200453724</v>
      </c>
      <c r="G92">
        <f t="shared" si="31"/>
        <v>0.17611391515468361</v>
      </c>
    </row>
    <row r="93" spans="1:7" x14ac:dyDescent="0.25">
      <c r="A93" s="29" t="s">
        <v>62</v>
      </c>
      <c r="D93">
        <f>_xlfn.T.INV(0.975,D87-1)</f>
        <v>2.2621571627982049</v>
      </c>
      <c r="E93">
        <f t="shared" ref="E93:G93" si="32">_xlfn.T.INV(0.975,E87-1)</f>
        <v>2.2621571627982049</v>
      </c>
      <c r="F93">
        <f t="shared" si="32"/>
        <v>2.2621571627982049</v>
      </c>
      <c r="G93">
        <f t="shared" si="32"/>
        <v>2.2621571627982049</v>
      </c>
    </row>
    <row r="94" spans="1:7" ht="14.4" x14ac:dyDescent="0.25">
      <c r="A94" s="41" t="s">
        <v>63</v>
      </c>
      <c r="B94" s="42"/>
      <c r="C94" s="42"/>
      <c r="D94" s="42">
        <f>D93*D92</f>
        <v>17.784289992987471</v>
      </c>
      <c r="E94" s="42">
        <f t="shared" ref="E94:G94" si="33">E93*E92</f>
        <v>7.0752458675040597E-2</v>
      </c>
      <c r="F94" s="42">
        <f t="shared" si="33"/>
        <v>0.467988993171503</v>
      </c>
      <c r="G94" s="43">
        <f t="shared" si="33"/>
        <v>0.39839735463560283</v>
      </c>
    </row>
    <row r="95" spans="1:7" x14ac:dyDescent="0.25">
      <c r="A95" s="44" t="s">
        <v>64</v>
      </c>
      <c r="B95" s="45"/>
      <c r="C95" s="45"/>
      <c r="D95" s="45">
        <f>D94/D88*100</f>
        <v>47.424773314633256</v>
      </c>
      <c r="E95" s="45">
        <f t="shared" ref="E95:G95" si="34">E94/E88*100</f>
        <v>67.383293976229126</v>
      </c>
      <c r="F95" s="45">
        <f t="shared" si="34"/>
        <v>8.2683567698145399</v>
      </c>
      <c r="G95" s="46">
        <f t="shared" si="34"/>
        <v>6.989427274308821</v>
      </c>
    </row>
    <row r="98" spans="1:12" x14ac:dyDescent="0.25">
      <c r="A98" s="28" t="s">
        <v>66</v>
      </c>
    </row>
    <row r="99" spans="1:12" x14ac:dyDescent="0.25">
      <c r="A99" s="28" t="s">
        <v>85</v>
      </c>
    </row>
    <row r="100" spans="1:12" ht="14.4" x14ac:dyDescent="0.3">
      <c r="A100" t="s">
        <v>67</v>
      </c>
      <c r="B100" s="30" t="s">
        <v>11</v>
      </c>
      <c r="C100" s="31" t="s">
        <v>68</v>
      </c>
      <c r="D100" s="30" t="s">
        <v>69</v>
      </c>
      <c r="E100" s="30" t="s">
        <v>70</v>
      </c>
      <c r="F100" s="30" t="s">
        <v>71</v>
      </c>
      <c r="G100" s="30" t="s">
        <v>72</v>
      </c>
      <c r="H100" s="30" t="s">
        <v>73</v>
      </c>
      <c r="I100" s="30" t="s">
        <v>74</v>
      </c>
      <c r="J100" s="30" t="s">
        <v>75</v>
      </c>
      <c r="K100" s="30" t="s">
        <v>76</v>
      </c>
      <c r="L100" s="30" t="s">
        <v>77</v>
      </c>
    </row>
    <row r="101" spans="1:12" x14ac:dyDescent="0.25">
      <c r="A101">
        <f>11*1600/10000</f>
        <v>1.76</v>
      </c>
      <c r="B101" s="10" t="s">
        <v>41</v>
      </c>
      <c r="C101" s="9">
        <v>1333.9</v>
      </c>
      <c r="D101" s="10">
        <f>C101*10000/1600</f>
        <v>8336.875</v>
      </c>
      <c r="E101" s="10">
        <v>11</v>
      </c>
      <c r="F101">
        <f>D101*(D101-E101)/E101</f>
        <v>6310161.7400568184</v>
      </c>
      <c r="G101">
        <f>_xlfn.VAR.S(D11:D21)</f>
        <v>82167.613636363618</v>
      </c>
      <c r="H101">
        <f>SUM(D11:D21)/A101</f>
        <v>3199.5738636363635</v>
      </c>
      <c r="I101">
        <f>H101*D101</f>
        <v>26674447.354403406</v>
      </c>
      <c r="J101">
        <f>D101^2*G101/E101</f>
        <v>519175952963.88727</v>
      </c>
      <c r="K101">
        <f>(F101*G101)</f>
        <v>518490931839.95258</v>
      </c>
      <c r="L101">
        <f>K101^2/(E101-1)</f>
        <v>2.6883284640026235E+22</v>
      </c>
    </row>
    <row r="102" spans="1:12" x14ac:dyDescent="0.25">
      <c r="A102">
        <f>7*1600/10000</f>
        <v>1.1200000000000001</v>
      </c>
      <c r="B102" s="10" t="s">
        <v>47</v>
      </c>
      <c r="C102" s="9">
        <v>559.93600000000004</v>
      </c>
      <c r="D102" s="10">
        <f t="shared" ref="D102:D104" si="35">C102*10000/1600</f>
        <v>3499.6</v>
      </c>
      <c r="E102" s="10">
        <v>7</v>
      </c>
      <c r="F102">
        <f t="shared" ref="F102:F104" si="36">D102*(D102-E102)/E102</f>
        <v>1746100.4228571428</v>
      </c>
      <c r="G102">
        <f>_xlfn.VAR.S(D22:D28)</f>
        <v>844.49404761904827</v>
      </c>
      <c r="H102">
        <f>SUM(D22:D28)/A102</f>
        <v>1037.9464285714284</v>
      </c>
      <c r="I102">
        <f t="shared" ref="I102:I104" si="37">H102*D102</f>
        <v>3632397.3214285709</v>
      </c>
      <c r="J102">
        <f t="shared" ref="J102:J104" si="38">D102^2*G102/E102</f>
        <v>1477526805.0170081</v>
      </c>
      <c r="K102">
        <f t="shared" ref="K102:K104" si="39">(F102*G102)</f>
        <v>1474571413.6479602</v>
      </c>
      <c r="L102">
        <f t="shared" ref="L102:L104" si="40">K102^2/(E102-1)</f>
        <v>3.6239347565795731E+17</v>
      </c>
    </row>
    <row r="103" spans="1:12" x14ac:dyDescent="0.25">
      <c r="A103">
        <f>6*1600/10000</f>
        <v>0.96</v>
      </c>
      <c r="B103" s="10" t="s">
        <v>48</v>
      </c>
      <c r="C103" s="9">
        <v>552.92899999999997</v>
      </c>
      <c r="D103" s="10">
        <f t="shared" si="35"/>
        <v>3455.8062500000001</v>
      </c>
      <c r="E103" s="10">
        <v>6</v>
      </c>
      <c r="F103">
        <f t="shared" si="36"/>
        <v>1986977.0000065106</v>
      </c>
      <c r="G103">
        <f>_xlfn.VAR.S(D29:D34)</f>
        <v>162.76041666666569</v>
      </c>
      <c r="H103">
        <f>SUM(D29:D34)/A103</f>
        <v>696.61458333333337</v>
      </c>
      <c r="I103">
        <f t="shared" si="37"/>
        <v>2407365.0309244795</v>
      </c>
      <c r="J103">
        <f t="shared" si="38"/>
        <v>323963672.89331037</v>
      </c>
      <c r="K103">
        <f t="shared" si="39"/>
        <v>323401204.42814106</v>
      </c>
      <c r="L103">
        <f t="shared" si="40"/>
        <v>2.0917667805114456E+16</v>
      </c>
    </row>
    <row r="104" spans="1:12" x14ac:dyDescent="0.25">
      <c r="A104">
        <f>10*1600/10000</f>
        <v>1.6</v>
      </c>
      <c r="B104" s="10" t="s">
        <v>49</v>
      </c>
      <c r="C104" s="9">
        <v>753.23500000000001</v>
      </c>
      <c r="D104" s="10">
        <f t="shared" si="35"/>
        <v>4707.71875</v>
      </c>
      <c r="E104" s="10">
        <v>10</v>
      </c>
      <c r="F104">
        <f t="shared" si="36"/>
        <v>2211553.8641601563</v>
      </c>
      <c r="G104">
        <f>_xlfn.VAR.S(D35:D44)</f>
        <v>618.05555555555554</v>
      </c>
      <c r="H104">
        <f>SUM(D35:D44)/A104</f>
        <v>257.8125</v>
      </c>
      <c r="I104">
        <f t="shared" si="37"/>
        <v>1213708.740234375</v>
      </c>
      <c r="J104">
        <f t="shared" si="38"/>
        <v>1369772783.8819716</v>
      </c>
      <c r="K104">
        <f t="shared" si="39"/>
        <v>1366863152.154541</v>
      </c>
      <c r="L104">
        <f t="shared" si="40"/>
        <v>2.0759054185753869E+17</v>
      </c>
    </row>
    <row r="106" spans="1:12" ht="14.4" x14ac:dyDescent="0.3">
      <c r="B106" s="10" t="s">
        <v>78</v>
      </c>
      <c r="D106">
        <f>SUM(D101:D104)</f>
        <v>20000</v>
      </c>
      <c r="H106" s="31">
        <f>I106/D106</f>
        <v>1696.3959223495417</v>
      </c>
      <c r="I106">
        <f>SUM(I101:I104)</f>
        <v>33927918.446990833</v>
      </c>
      <c r="J106">
        <f t="shared" ref="J106:L106" si="41">SUM(J101:J104)</f>
        <v>522347216225.67957</v>
      </c>
      <c r="K106">
        <f t="shared" si="41"/>
        <v>521655767610.18323</v>
      </c>
      <c r="L106">
        <f t="shared" si="41"/>
        <v>2.6883875541711556E+22</v>
      </c>
    </row>
    <row r="107" spans="1:12" x14ac:dyDescent="0.25">
      <c r="G107" t="s">
        <v>79</v>
      </c>
      <c r="H107">
        <f>J106/D106^2</f>
        <v>1305.868040564199</v>
      </c>
    </row>
    <row r="108" spans="1:12" ht="14.4" x14ac:dyDescent="0.3">
      <c r="G108" s="31" t="s">
        <v>80</v>
      </c>
      <c r="H108" s="31">
        <f>K106^2/L106</f>
        <v>10.12222882295209</v>
      </c>
    </row>
    <row r="109" spans="1:12" x14ac:dyDescent="0.25">
      <c r="G109" t="s">
        <v>81</v>
      </c>
      <c r="H109">
        <f>_xlfn.T.INV(0.975,H108-1)</f>
        <v>2.2621571627982049</v>
      </c>
    </row>
    <row r="110" spans="1:12" ht="14.4" x14ac:dyDescent="0.3">
      <c r="G110" s="31" t="s">
        <v>82</v>
      </c>
      <c r="H110" s="31">
        <f>H109*H107^5</f>
        <v>8590515785087967</v>
      </c>
    </row>
    <row r="111" spans="1:12" ht="14.4" x14ac:dyDescent="0.3">
      <c r="G111" s="31" t="s">
        <v>83</v>
      </c>
      <c r="H111" s="31">
        <f>H110/H106*100</f>
        <v>506398044932219.25</v>
      </c>
    </row>
    <row r="113" spans="1:12" x14ac:dyDescent="0.25">
      <c r="C113" t="s">
        <v>84</v>
      </c>
      <c r="D113">
        <f>D101/D106</f>
        <v>0.41684375000000001</v>
      </c>
    </row>
    <row r="114" spans="1:12" x14ac:dyDescent="0.25">
      <c r="C114" t="s">
        <v>84</v>
      </c>
      <c r="D114">
        <f>D102/D106</f>
        <v>0.17498</v>
      </c>
    </row>
    <row r="115" spans="1:12" ht="14.4" x14ac:dyDescent="0.3">
      <c r="C115" t="s">
        <v>84</v>
      </c>
      <c r="D115">
        <f>D103/D106</f>
        <v>0.17279031250000002</v>
      </c>
      <c r="G115" s="47" t="s">
        <v>86</v>
      </c>
      <c r="H115" s="48">
        <f>((D101^2*(G101/H101*100)/D113)+(D102^2*(G102/H102*100)/D114)+(D103^2*(G103/H103*100)/D115)+(D103^2*(G103/H103*100)/D116))/D106^2*5^2/H109^2+(D101*(G101/H101*100)^2+(D102*(G102/H102*100)^2)+(D103*(G103/H103*100)^2)+(D104*(G104/H104*100)^2))</f>
        <v>55277592357.578857</v>
      </c>
    </row>
    <row r="116" spans="1:12" x14ac:dyDescent="0.25">
      <c r="C116" t="s">
        <v>84</v>
      </c>
      <c r="D116">
        <f>D104/D106</f>
        <v>0.2353859375</v>
      </c>
      <c r="G116" s="49" t="s">
        <v>87</v>
      </c>
      <c r="H116" s="50">
        <f>((D101^2*(G101/H101*100)/D113)+(D102^2*(G102/H102*100)/D114)+(D103^2*(G103/H103*100)/D115)+(D103^2*(G103/H103*100)/D116))/D106^2*10^2/H109^2+(D101*(G101/H101*100)^2+(D102*(G102/H102*100)^2)+(D103*(G103/H103*100)^2)+(D104*(G104/H104*100)^2))</f>
        <v>55277608357.917412</v>
      </c>
    </row>
    <row r="119" spans="1:12" x14ac:dyDescent="0.25">
      <c r="A119" s="28" t="s">
        <v>88</v>
      </c>
    </row>
    <row r="120" spans="1:12" ht="14.4" x14ac:dyDescent="0.3">
      <c r="A120" t="s">
        <v>67</v>
      </c>
      <c r="B120" s="30" t="s">
        <v>11</v>
      </c>
      <c r="C120" s="31" t="s">
        <v>68</v>
      </c>
      <c r="D120" s="30" t="s">
        <v>69</v>
      </c>
      <c r="E120" s="30" t="s">
        <v>70</v>
      </c>
      <c r="F120" s="30" t="s">
        <v>71</v>
      </c>
      <c r="G120" s="30" t="s">
        <v>72</v>
      </c>
      <c r="H120" s="30" t="s">
        <v>73</v>
      </c>
      <c r="I120" s="30" t="s">
        <v>74</v>
      </c>
      <c r="J120" s="30" t="s">
        <v>75</v>
      </c>
      <c r="K120" s="30" t="s">
        <v>76</v>
      </c>
      <c r="L120" s="30" t="s">
        <v>77</v>
      </c>
    </row>
    <row r="121" spans="1:12" x14ac:dyDescent="0.25">
      <c r="A121">
        <f>11*1600/10000</f>
        <v>1.76</v>
      </c>
      <c r="B121" s="10" t="s">
        <v>41</v>
      </c>
      <c r="C121" s="9">
        <v>1333.9</v>
      </c>
      <c r="D121" s="10">
        <f>C121*10000/1600</f>
        <v>8336.875</v>
      </c>
      <c r="E121" s="10">
        <v>11</v>
      </c>
      <c r="F121">
        <f>D121*(D121-E121)/E121</f>
        <v>6310161.7400568184</v>
      </c>
      <c r="G121">
        <f>_xlfn.VAR.S(E31:E41)</f>
        <v>0.12982727272727276</v>
      </c>
      <c r="H121">
        <f>SUM(E31:E41)/A121</f>
        <v>1.9659090909090908</v>
      </c>
      <c r="I121">
        <f>H121*D121</f>
        <v>16389.538352272728</v>
      </c>
      <c r="J121">
        <f>D121^2*G121/E121</f>
        <v>820313.44292387669</v>
      </c>
      <c r="K121">
        <f>(F121*G121)</f>
        <v>819231.08917955856</v>
      </c>
      <c r="L121">
        <f>K121^2/(E121-1)</f>
        <v>67113957747.832581</v>
      </c>
    </row>
    <row r="122" spans="1:12" x14ac:dyDescent="0.25">
      <c r="A122">
        <f>7*1600/10000</f>
        <v>1.1200000000000001</v>
      </c>
      <c r="B122" s="10" t="s">
        <v>47</v>
      </c>
      <c r="C122" s="9">
        <v>559.93600000000004</v>
      </c>
      <c r="D122" s="10">
        <f t="shared" ref="D122:D124" si="42">C122*10000/1600</f>
        <v>3499.6</v>
      </c>
      <c r="E122" s="10">
        <v>7</v>
      </c>
      <c r="F122">
        <f t="shared" ref="F122:F124" si="43">D122*(D122-E122)/E122</f>
        <v>1746100.4228571428</v>
      </c>
      <c r="G122">
        <f t="shared" ref="G122:G124" si="44">_xlfn.VAR.S(E32:E42)</f>
        <v>2.2481818181818158E-2</v>
      </c>
      <c r="H122">
        <f t="shared" ref="H122:H124" si="45">SUM(E32:E42)/A122</f>
        <v>1.9910714285714288</v>
      </c>
      <c r="I122">
        <f t="shared" ref="I122:I124" si="46">H122*D122</f>
        <v>6967.9535714285721</v>
      </c>
      <c r="J122">
        <f t="shared" ref="J122:J124" si="47">D122^2*G122/E122</f>
        <v>39334.189604779182</v>
      </c>
      <c r="K122">
        <f t="shared" ref="K122:K124" si="48">(F122*G122)</f>
        <v>39255.512233870089</v>
      </c>
      <c r="L122">
        <f t="shared" ref="L122:L124" si="49">K122^2/(E122-1)</f>
        <v>256832540.12392071</v>
      </c>
    </row>
    <row r="123" spans="1:12" x14ac:dyDescent="0.25">
      <c r="A123">
        <f>6*1600/10000</f>
        <v>0.96</v>
      </c>
      <c r="B123" s="10" t="s">
        <v>48</v>
      </c>
      <c r="C123" s="9">
        <v>552.92899999999997</v>
      </c>
      <c r="D123" s="10">
        <f t="shared" si="42"/>
        <v>3455.8062500000001</v>
      </c>
      <c r="E123" s="10">
        <v>6</v>
      </c>
      <c r="F123">
        <f t="shared" si="43"/>
        <v>1986977.0000065106</v>
      </c>
      <c r="G123">
        <f t="shared" si="44"/>
        <v>2.2447272727272712E-2</v>
      </c>
      <c r="H123">
        <f t="shared" si="45"/>
        <v>2.1250000000000004</v>
      </c>
      <c r="I123">
        <f t="shared" si="46"/>
        <v>7343.5882812500022</v>
      </c>
      <c r="J123">
        <f t="shared" si="47"/>
        <v>44679.788047350659</v>
      </c>
      <c r="K123">
        <f t="shared" si="48"/>
        <v>44602.214621964296</v>
      </c>
      <c r="L123">
        <f t="shared" si="49"/>
        <v>397871509.83675313</v>
      </c>
    </row>
    <row r="124" spans="1:12" x14ac:dyDescent="0.25">
      <c r="A124">
        <f>10*1600/10000</f>
        <v>1.6</v>
      </c>
      <c r="B124" s="10" t="s">
        <v>49</v>
      </c>
      <c r="C124" s="9">
        <v>753.23500000000001</v>
      </c>
      <c r="D124" s="10">
        <f t="shared" si="42"/>
        <v>4707.71875</v>
      </c>
      <c r="E124" s="10">
        <v>10</v>
      </c>
      <c r="F124">
        <f t="shared" si="43"/>
        <v>2211553.8641601563</v>
      </c>
      <c r="G124">
        <f t="shared" si="44"/>
        <v>1.3447272727272719E-2</v>
      </c>
      <c r="H124">
        <f t="shared" si="45"/>
        <v>0.99375000000000013</v>
      </c>
      <c r="I124">
        <f t="shared" si="46"/>
        <v>4678.2955078125005</v>
      </c>
      <c r="J124">
        <f t="shared" si="47"/>
        <v>29802.673940370012</v>
      </c>
      <c r="K124">
        <f t="shared" si="48"/>
        <v>29739.367962415465</v>
      </c>
      <c r="L124">
        <f t="shared" si="49"/>
        <v>98270000.755993709</v>
      </c>
    </row>
    <row r="126" spans="1:12" ht="14.4" x14ac:dyDescent="0.3">
      <c r="B126" s="10" t="s">
        <v>78</v>
      </c>
      <c r="D126">
        <f>SUM(D121:D124)</f>
        <v>20000</v>
      </c>
      <c r="H126" s="31">
        <f>I126/D126</f>
        <v>1.7689687856381902</v>
      </c>
      <c r="I126">
        <f>SUM(I121:I124)</f>
        <v>35379.375712763802</v>
      </c>
      <c r="J126">
        <f t="shared" ref="J126:L126" si="50">SUM(J121:J124)</f>
        <v>934130.09451637662</v>
      </c>
      <c r="K126">
        <f t="shared" si="50"/>
        <v>932828.18399780837</v>
      </c>
      <c r="L126">
        <f t="shared" si="50"/>
        <v>67866931798.549255</v>
      </c>
    </row>
    <row r="127" spans="1:12" x14ac:dyDescent="0.25">
      <c r="G127" t="s">
        <v>79</v>
      </c>
      <c r="H127">
        <f>J126/D126^2</f>
        <v>2.3353252362909417E-3</v>
      </c>
    </row>
    <row r="128" spans="1:12" ht="14.4" x14ac:dyDescent="0.3">
      <c r="G128" s="31" t="s">
        <v>80</v>
      </c>
      <c r="H128" s="31">
        <f>K126^2/L126</f>
        <v>12.821684991500529</v>
      </c>
    </row>
    <row r="129" spans="1:12" x14ac:dyDescent="0.25">
      <c r="G129" t="s">
        <v>81</v>
      </c>
      <c r="H129">
        <f>_xlfn.T.INV(0.975,H128-1)</f>
        <v>2.2009851600916384</v>
      </c>
    </row>
    <row r="130" spans="1:12" ht="14.4" x14ac:dyDescent="0.3">
      <c r="G130" s="31" t="s">
        <v>82</v>
      </c>
      <c r="H130" s="31">
        <f>H129*H127^5</f>
        <v>1.5288116262647714E-13</v>
      </c>
    </row>
    <row r="131" spans="1:12" ht="14.4" x14ac:dyDescent="0.3">
      <c r="G131" s="31" t="s">
        <v>83</v>
      </c>
      <c r="H131" s="31">
        <f>H130/H126*100</f>
        <v>8.6423889368586152E-12</v>
      </c>
    </row>
    <row r="133" spans="1:12" x14ac:dyDescent="0.25">
      <c r="C133" t="s">
        <v>84</v>
      </c>
      <c r="D133">
        <f>D121/D126</f>
        <v>0.41684375000000001</v>
      </c>
    </row>
    <row r="134" spans="1:12" x14ac:dyDescent="0.25">
      <c r="C134" t="s">
        <v>84</v>
      </c>
      <c r="D134">
        <f>D122/D126</f>
        <v>0.17498</v>
      </c>
    </row>
    <row r="135" spans="1:12" ht="14.4" x14ac:dyDescent="0.3">
      <c r="C135" t="s">
        <v>84</v>
      </c>
      <c r="D135">
        <f>D123/D126</f>
        <v>0.17279031250000002</v>
      </c>
      <c r="G135" s="47" t="s">
        <v>86</v>
      </c>
      <c r="H135" s="48">
        <f>((D121^2*(G121/H121*100)/D133)+(D122^2*(G122/H122*100)/D134)+(D123^2*(G123/H123*100)/D135)+(D123^2*(G123/H123*100)/D136))/D126^2*5^2/H129^2+(D121*(G121/H121*100)^2+(D122*(G122/H122*100)^2)+(D123*(G123/H123*100)^2)+(D124*(G124/H124*100)^2))</f>
        <v>380542.1284683515</v>
      </c>
    </row>
    <row r="136" spans="1:12" x14ac:dyDescent="0.25">
      <c r="C136" t="s">
        <v>84</v>
      </c>
      <c r="D136">
        <f>D124/D126</f>
        <v>0.2353859375</v>
      </c>
      <c r="G136" s="49" t="s">
        <v>87</v>
      </c>
      <c r="H136" s="50">
        <f>((D121^2*(G121/H121*100)/D133)+(D122^2*(G122/H122*100)/D134)+(D123^2*(G123/H123*100)/D135)+(D123^2*(G123/H123*100)/D136))/D126^2*10^2/H129^2+(D121*(G121/H121*100)^2+(D122*(G122/H122*100)^2)+(D123*(G123/H123*100)^2)+(D124*(G124/H124*100)^2))</f>
        <v>380592.70654048573</v>
      </c>
    </row>
    <row r="139" spans="1:12" x14ac:dyDescent="0.25">
      <c r="A139" s="28" t="s">
        <v>89</v>
      </c>
    </row>
    <row r="140" spans="1:12" ht="14.4" x14ac:dyDescent="0.3">
      <c r="A140" t="s">
        <v>67</v>
      </c>
      <c r="B140" s="30" t="s">
        <v>11</v>
      </c>
      <c r="C140" s="31" t="s">
        <v>68</v>
      </c>
      <c r="D140" s="30" t="s">
        <v>69</v>
      </c>
      <c r="E140" s="30" t="s">
        <v>70</v>
      </c>
      <c r="F140" s="30" t="s">
        <v>71</v>
      </c>
      <c r="G140" s="30" t="s">
        <v>72</v>
      </c>
      <c r="H140" s="30" t="s">
        <v>73</v>
      </c>
      <c r="I140" s="30" t="s">
        <v>74</v>
      </c>
      <c r="J140" s="30" t="s">
        <v>75</v>
      </c>
      <c r="K140" s="30" t="s">
        <v>76</v>
      </c>
      <c r="L140" s="30" t="s">
        <v>77</v>
      </c>
    </row>
    <row r="141" spans="1:12" x14ac:dyDescent="0.25">
      <c r="A141">
        <f>11*1600/10000</f>
        <v>1.76</v>
      </c>
      <c r="B141" s="10" t="s">
        <v>41</v>
      </c>
      <c r="C141" s="9">
        <v>1333.9</v>
      </c>
      <c r="D141" s="10">
        <f>C141*10000/1600</f>
        <v>8336.875</v>
      </c>
      <c r="E141" s="10">
        <v>11</v>
      </c>
      <c r="F141">
        <f>D141*(D141-E141)/E141</f>
        <v>6310161.7400568184</v>
      </c>
      <c r="G141">
        <f>_xlfn.VAR.S(F51:F61)</f>
        <v>90.323364162834082</v>
      </c>
      <c r="H141">
        <f>SUM(F51:F61)/A141</f>
        <v>32.947353161283147</v>
      </c>
      <c r="I141">
        <f>H141*D141</f>
        <v>274677.96488647244</v>
      </c>
      <c r="J141">
        <f>D141^2*G141/E141</f>
        <v>570708051.37013984</v>
      </c>
      <c r="K141">
        <f>(F141*G141)</f>
        <v>569955036.77353477</v>
      </c>
      <c r="L141">
        <f>K141^2/(E141-1)</f>
        <v>3.248487439435214E+16</v>
      </c>
    </row>
    <row r="142" spans="1:12" x14ac:dyDescent="0.25">
      <c r="A142">
        <f>7*1600/10000</f>
        <v>1.1200000000000001</v>
      </c>
      <c r="B142" s="10" t="s">
        <v>47</v>
      </c>
      <c r="C142" s="9">
        <v>559.93600000000004</v>
      </c>
      <c r="D142" s="10">
        <f t="shared" ref="D142:D144" si="51">C142*10000/1600</f>
        <v>3499.6</v>
      </c>
      <c r="E142" s="10">
        <v>7</v>
      </c>
      <c r="F142">
        <f t="shared" ref="F142:F144" si="52">D142*(D142-E142)/E142</f>
        <v>1746100.4228571428</v>
      </c>
      <c r="G142">
        <f t="shared" ref="G142:G144" si="53">_xlfn.VAR.S(F52:F62)</f>
        <v>95.409177769354173</v>
      </c>
      <c r="H142">
        <f t="shared" ref="H142:H144" si="54">SUM(F52:F62)/A142</f>
        <v>69.085738625516129</v>
      </c>
      <c r="I142">
        <f t="shared" ref="I142:I144" si="55">H142*D142</f>
        <v>241772.45089385624</v>
      </c>
      <c r="J142">
        <f t="shared" ref="J142:J144" si="56">D142^2*G142/E142</f>
        <v>166927899.60604328</v>
      </c>
      <c r="K142">
        <f t="shared" ref="K142:K144" si="57">(F142*G142)</f>
        <v>166594005.64752162</v>
      </c>
      <c r="L142">
        <f t="shared" ref="L142:L144" si="58">K142^2/(E142-1)</f>
        <v>4625593786281077</v>
      </c>
    </row>
    <row r="143" spans="1:12" x14ac:dyDescent="0.25">
      <c r="A143">
        <f>6*1600/10000</f>
        <v>0.96</v>
      </c>
      <c r="B143" s="10" t="s">
        <v>48</v>
      </c>
      <c r="C143" s="9">
        <v>552.92899999999997</v>
      </c>
      <c r="D143" s="10">
        <f t="shared" si="51"/>
        <v>3455.8062500000001</v>
      </c>
      <c r="E143" s="10">
        <v>6</v>
      </c>
      <c r="F143">
        <f t="shared" si="52"/>
        <v>1986977.0000065106</v>
      </c>
      <c r="G143">
        <f t="shared" si="53"/>
        <v>95.409177769354173</v>
      </c>
      <c r="H143">
        <f t="shared" si="54"/>
        <v>80.600028396435491</v>
      </c>
      <c r="I143">
        <f t="shared" si="55"/>
        <v>278538.08188257925</v>
      </c>
      <c r="J143">
        <f t="shared" si="56"/>
        <v>189905557.45008191</v>
      </c>
      <c r="K143">
        <f t="shared" si="57"/>
        <v>189575841.81723922</v>
      </c>
      <c r="L143">
        <f t="shared" si="58"/>
        <v>7187799960142982</v>
      </c>
    </row>
    <row r="144" spans="1:12" x14ac:dyDescent="0.25">
      <c r="A144">
        <f>10*1600/10000</f>
        <v>1.6</v>
      </c>
      <c r="B144" s="10" t="s">
        <v>49</v>
      </c>
      <c r="C144" s="9">
        <v>753.23500000000001</v>
      </c>
      <c r="D144" s="10">
        <f t="shared" si="51"/>
        <v>4707.71875</v>
      </c>
      <c r="E144" s="10">
        <v>10</v>
      </c>
      <c r="F144">
        <f t="shared" si="52"/>
        <v>2211553.8641601563</v>
      </c>
      <c r="G144">
        <f t="shared" si="53"/>
        <v>95.409177769354173</v>
      </c>
      <c r="H144">
        <f t="shared" si="54"/>
        <v>48.36001703786129</v>
      </c>
      <c r="I144">
        <f t="shared" si="55"/>
        <v>227665.35895945906</v>
      </c>
      <c r="J144">
        <f t="shared" si="56"/>
        <v>211451695.34726536</v>
      </c>
      <c r="K144">
        <f t="shared" si="57"/>
        <v>211002535.7721585</v>
      </c>
      <c r="L144">
        <f t="shared" si="58"/>
        <v>4946896678031226</v>
      </c>
    </row>
    <row r="146" spans="1:12" ht="14.4" x14ac:dyDescent="0.3">
      <c r="B146" s="10" t="s">
        <v>78</v>
      </c>
      <c r="D146">
        <f>SUM(D141:D144)</f>
        <v>20000</v>
      </c>
      <c r="H146" s="31">
        <f>I146/D146</f>
        <v>51.132692831118348</v>
      </c>
      <c r="I146">
        <f>SUM(I141:I144)</f>
        <v>1022653.8566223669</v>
      </c>
      <c r="J146">
        <f t="shared" ref="J146:L146" si="59">SUM(J141:J144)</f>
        <v>1138993203.7735305</v>
      </c>
      <c r="K146">
        <f t="shared" si="59"/>
        <v>1137127420.0104542</v>
      </c>
      <c r="L146">
        <f t="shared" si="59"/>
        <v>4.9245164818807424E+16</v>
      </c>
    </row>
    <row r="147" spans="1:12" x14ac:dyDescent="0.25">
      <c r="G147" t="s">
        <v>79</v>
      </c>
      <c r="H147">
        <f>J146/D146^2</f>
        <v>2.8474830094338262</v>
      </c>
    </row>
    <row r="148" spans="1:12" ht="14.4" x14ac:dyDescent="0.3">
      <c r="G148" s="31" t="s">
        <v>80</v>
      </c>
      <c r="H148" s="31">
        <f>K146^2/L146</f>
        <v>26.257578263720106</v>
      </c>
    </row>
    <row r="149" spans="1:12" x14ac:dyDescent="0.25">
      <c r="G149" t="s">
        <v>81</v>
      </c>
      <c r="H149">
        <f>_xlfn.T.INV(0.975,H148-1)</f>
        <v>2.0595385527532977</v>
      </c>
    </row>
    <row r="150" spans="1:12" ht="14.4" x14ac:dyDescent="0.3">
      <c r="G150" s="31" t="s">
        <v>82</v>
      </c>
      <c r="H150" s="31">
        <f>H149*H147^5</f>
        <v>385.54549500488372</v>
      </c>
    </row>
    <row r="151" spans="1:12" ht="14.4" x14ac:dyDescent="0.3">
      <c r="G151" s="31" t="s">
        <v>83</v>
      </c>
      <c r="H151" s="31">
        <f>H150/H146*100</f>
        <v>754.00976099238085</v>
      </c>
    </row>
    <row r="153" spans="1:12" x14ac:dyDescent="0.25">
      <c r="C153" t="s">
        <v>84</v>
      </c>
      <c r="D153">
        <f>D141/D146</f>
        <v>0.41684375000000001</v>
      </c>
    </row>
    <row r="154" spans="1:12" x14ac:dyDescent="0.25">
      <c r="C154" t="s">
        <v>84</v>
      </c>
      <c r="D154">
        <f>D142/D146</f>
        <v>0.17498</v>
      </c>
    </row>
    <row r="155" spans="1:12" ht="14.4" x14ac:dyDescent="0.3">
      <c r="C155" t="s">
        <v>84</v>
      </c>
      <c r="D155">
        <f>D143/D146</f>
        <v>0.17279031250000002</v>
      </c>
      <c r="G155" s="47" t="s">
        <v>86</v>
      </c>
      <c r="H155" s="48">
        <f>((D141^2*(G141/H141*100)/D153)+(D142^2*(G142/H142*100)/D154)+(D143^2*(G143/H143*100)/D155)+(D143^2*(G143/H143*100)/D156))/D146^2*5^2/H149^2+(D141*(G141/H141*100)^2+(D142*(G142/H142*100)^2)+(D143*(G143/H143*100)^2)+(D144*(G144/H144*100)^2))</f>
        <v>924969035.70550728</v>
      </c>
    </row>
    <row r="156" spans="1:12" x14ac:dyDescent="0.25">
      <c r="C156" t="s">
        <v>84</v>
      </c>
      <c r="D156">
        <f>D144/D146</f>
        <v>0.2353859375</v>
      </c>
      <c r="G156" s="49" t="s">
        <v>87</v>
      </c>
      <c r="H156" s="50">
        <f>((D141^2*(G141/H141*100)/D153)+(D142^2*(G142/H142*100)/D154)+(D143^2*(G143/H143*100)/D155)+(D143^2*(G143/H143*100)/D156))/D146^2*10^2/H149^2+(D141*(G141/H141*100)^2+(D142*(G142/H142*100)^2)+(D143*(G143/H143*100)^2)+(D144*(G144/H144*100)^2))</f>
        <v>924972110.69409168</v>
      </c>
    </row>
    <row r="159" spans="1:12" x14ac:dyDescent="0.25">
      <c r="A159" s="28" t="s">
        <v>90</v>
      </c>
    </row>
    <row r="160" spans="1:12" ht="14.4" x14ac:dyDescent="0.3">
      <c r="A160" t="s">
        <v>67</v>
      </c>
      <c r="B160" s="30" t="s">
        <v>11</v>
      </c>
      <c r="C160" s="31" t="s">
        <v>68</v>
      </c>
      <c r="D160" s="30" t="s">
        <v>69</v>
      </c>
      <c r="E160" s="30" t="s">
        <v>70</v>
      </c>
      <c r="F160" s="30" t="s">
        <v>71</v>
      </c>
      <c r="G160" s="30" t="s">
        <v>72</v>
      </c>
      <c r="H160" s="30" t="s">
        <v>73</v>
      </c>
      <c r="I160" s="30" t="s">
        <v>74</v>
      </c>
      <c r="J160" s="30" t="s">
        <v>75</v>
      </c>
      <c r="K160" s="30" t="s">
        <v>76</v>
      </c>
      <c r="L160" s="30" t="s">
        <v>77</v>
      </c>
    </row>
    <row r="161" spans="1:12" x14ac:dyDescent="0.25">
      <c r="A161">
        <f>11*1600/10000</f>
        <v>1.76</v>
      </c>
      <c r="B161" s="10" t="s">
        <v>41</v>
      </c>
      <c r="C161" s="9">
        <v>1333.9</v>
      </c>
      <c r="D161" s="10">
        <f>C161*10000/1600</f>
        <v>8336.875</v>
      </c>
      <c r="E161" s="10">
        <v>11</v>
      </c>
      <c r="F161">
        <f>D161*(D161-E161)/E161</f>
        <v>6310161.7400568184</v>
      </c>
      <c r="G161">
        <f>_xlfn.VAR.S(G71:G81)</f>
        <v>65.171045238026849</v>
      </c>
      <c r="H161">
        <f>SUM(G71:G81)/A161</f>
        <v>36.677574884331122</v>
      </c>
      <c r="I161">
        <f>H161*D161</f>
        <v>305776.35711380804</v>
      </c>
      <c r="J161">
        <f>D161^2*G161/E161</f>
        <v>411783159.07827795</v>
      </c>
      <c r="K161">
        <f>(F161*G161)</f>
        <v>411239836.22050911</v>
      </c>
      <c r="L161">
        <f>K161^2/(E161-1)</f>
        <v>1.6911820289467116E+16</v>
      </c>
    </row>
    <row r="162" spans="1:12" x14ac:dyDescent="0.25">
      <c r="A162">
        <f>7*1600/10000</f>
        <v>1.1200000000000001</v>
      </c>
      <c r="B162" s="10" t="s">
        <v>47</v>
      </c>
      <c r="C162" s="9">
        <v>559.93600000000004</v>
      </c>
      <c r="D162" s="10">
        <f t="shared" ref="D162:D164" si="60">C162*10000/1600</f>
        <v>3499.6</v>
      </c>
      <c r="E162" s="10">
        <v>7</v>
      </c>
      <c r="F162">
        <f t="shared" ref="F162:F164" si="61">D162*(D162-E162)/E162</f>
        <v>1746100.4228571428</v>
      </c>
      <c r="G162">
        <f t="shared" ref="G162:G164" si="62">_xlfn.VAR.S(G72:G82)</f>
        <v>65.026641138311874</v>
      </c>
      <c r="H162">
        <f t="shared" ref="H162:H164" si="63">SUM(G72:G82)/A162</f>
        <v>57.746608732959025</v>
      </c>
      <c r="I162">
        <f t="shared" ref="I162:I164" si="64">H162*D162</f>
        <v>202090.03192186341</v>
      </c>
      <c r="J162">
        <f t="shared" ref="J162:J164" si="65">D162^2*G162/E162</f>
        <v>113770612.82191369</v>
      </c>
      <c r="K162">
        <f t="shared" ref="K162:K164" si="66">(F162*G162)</f>
        <v>113543045.58858603</v>
      </c>
      <c r="L162">
        <f t="shared" ref="L162:L164" si="67">K162^2/(E162-1)</f>
        <v>2148670533588621</v>
      </c>
    </row>
    <row r="163" spans="1:12" x14ac:dyDescent="0.25">
      <c r="A163">
        <f>6*1600/10000</f>
        <v>0.96</v>
      </c>
      <c r="B163" s="10" t="s">
        <v>48</v>
      </c>
      <c r="C163" s="9">
        <v>552.92899999999997</v>
      </c>
      <c r="D163" s="10">
        <f t="shared" si="60"/>
        <v>3455.8062500000001</v>
      </c>
      <c r="E163" s="10">
        <v>6</v>
      </c>
      <c r="F163">
        <f t="shared" si="61"/>
        <v>1986977.0000065106</v>
      </c>
      <c r="G163">
        <f t="shared" si="62"/>
        <v>63.196980571140188</v>
      </c>
      <c r="H163">
        <f t="shared" si="63"/>
        <v>68.739357306322589</v>
      </c>
      <c r="I163">
        <f t="shared" si="64"/>
        <v>237549.90060017278</v>
      </c>
      <c r="J163">
        <f t="shared" si="65"/>
        <v>125789343.38515274</v>
      </c>
      <c r="K163">
        <f t="shared" si="66"/>
        <v>125570946.86471386</v>
      </c>
      <c r="L163">
        <f t="shared" si="67"/>
        <v>3153612539300158.5</v>
      </c>
    </row>
    <row r="164" spans="1:12" x14ac:dyDescent="0.25">
      <c r="A164">
        <f>10*1600/10000</f>
        <v>1.6</v>
      </c>
      <c r="B164" s="10" t="s">
        <v>49</v>
      </c>
      <c r="C164" s="9">
        <v>753.23500000000001</v>
      </c>
      <c r="D164" s="10">
        <f t="shared" si="60"/>
        <v>4707.71875</v>
      </c>
      <c r="E164" s="10">
        <v>10</v>
      </c>
      <c r="F164">
        <f t="shared" si="61"/>
        <v>2211553.8641601563</v>
      </c>
      <c r="G164">
        <f t="shared" si="62"/>
        <v>100.23461458816945</v>
      </c>
      <c r="H164">
        <f t="shared" si="63"/>
        <v>48.746416794893953</v>
      </c>
      <c r="I164">
        <f t="shared" si="64"/>
        <v>229484.42034063718</v>
      </c>
      <c r="J164">
        <f t="shared" si="65"/>
        <v>222146125.58956584</v>
      </c>
      <c r="K164">
        <f t="shared" si="66"/>
        <v>221674249.21507013</v>
      </c>
      <c r="L164">
        <f t="shared" si="67"/>
        <v>5459941418340557</v>
      </c>
    </row>
    <row r="166" spans="1:12" ht="14.4" x14ac:dyDescent="0.3">
      <c r="B166" s="10" t="s">
        <v>78</v>
      </c>
      <c r="D166">
        <f>SUM(D161:D164)</f>
        <v>20000</v>
      </c>
      <c r="H166" s="31">
        <f>I166/D166</f>
        <v>48.745035498824073</v>
      </c>
      <c r="I166">
        <f>SUM(I161:I164)</f>
        <v>974900.70997648151</v>
      </c>
      <c r="J166">
        <f t="shared" ref="J166:L166" si="68">SUM(J161:J164)</f>
        <v>873489240.87491024</v>
      </c>
      <c r="K166">
        <f t="shared" si="68"/>
        <v>872028077.88887918</v>
      </c>
      <c r="L166">
        <f t="shared" si="68"/>
        <v>2.7674044780696452E+16</v>
      </c>
    </row>
    <row r="167" spans="1:12" x14ac:dyDescent="0.25">
      <c r="G167" t="s">
        <v>79</v>
      </c>
      <c r="H167">
        <f>J166/D166^2</f>
        <v>2.1837231021872756</v>
      </c>
    </row>
    <row r="168" spans="1:12" ht="14.4" x14ac:dyDescent="0.3">
      <c r="G168" s="31" t="s">
        <v>80</v>
      </c>
      <c r="H168" s="31">
        <f>K166^2/L166</f>
        <v>27.47820113223926</v>
      </c>
    </row>
    <row r="169" spans="1:12" x14ac:dyDescent="0.25">
      <c r="G169" t="s">
        <v>81</v>
      </c>
      <c r="H169">
        <f>_xlfn.T.INV(0.975,H168-1)</f>
        <v>2.0555294386428731</v>
      </c>
    </row>
    <row r="170" spans="1:12" ht="14.4" x14ac:dyDescent="0.3">
      <c r="G170" s="31" t="s">
        <v>82</v>
      </c>
      <c r="H170" s="31">
        <f>H169*H167^5</f>
        <v>102.0731562968314</v>
      </c>
    </row>
    <row r="171" spans="1:12" ht="14.4" x14ac:dyDescent="0.3">
      <c r="G171" s="31" t="s">
        <v>83</v>
      </c>
      <c r="H171" s="31">
        <f>H170/H166*100</f>
        <v>209.40215809114306</v>
      </c>
    </row>
    <row r="173" spans="1:12" x14ac:dyDescent="0.25">
      <c r="C173" t="s">
        <v>84</v>
      </c>
      <c r="D173">
        <f>D161/D166</f>
        <v>0.41684375000000001</v>
      </c>
    </row>
    <row r="174" spans="1:12" x14ac:dyDescent="0.25">
      <c r="C174" t="s">
        <v>84</v>
      </c>
      <c r="D174">
        <f>D162/D166</f>
        <v>0.17498</v>
      </c>
    </row>
    <row r="175" spans="1:12" ht="14.4" x14ac:dyDescent="0.3">
      <c r="C175" t="s">
        <v>84</v>
      </c>
      <c r="D175">
        <f>D163/D166</f>
        <v>0.17279031250000002</v>
      </c>
      <c r="G175" s="47" t="s">
        <v>86</v>
      </c>
      <c r="H175" s="48">
        <f>((D161^2*(G161/H161*100)/D173)+(D162^2*(G162/H162*100)/D174)+(D163^2*(G163/H163*100)/D175)+(D163^2*(G163/H163*100)/D176))/D166^2*5^2/H169^2+(D161*(G161/H161*100)^2+(D162*(G162/H162*100)^2)+(D163*(G163/H163*100)^2)+(D164*(G164/H164*100)^2))</f>
        <v>535851425.38286912</v>
      </c>
    </row>
    <row r="176" spans="1:12" x14ac:dyDescent="0.25">
      <c r="C176" t="s">
        <v>84</v>
      </c>
      <c r="D176">
        <f>D164/D166</f>
        <v>0.2353859375</v>
      </c>
      <c r="G176" s="49" t="s">
        <v>87</v>
      </c>
      <c r="H176" s="50">
        <f>((D161^2*(G161/H161*100)/D173)+(D162^2*(G162/H162*100)/D174)+(D163^2*(G163/H163*100)/D175)+(D163^2*(G163/H163*100)/D176))/D166^2*10^2/H169^2+(D161*(G161/H161*100)^2+(D162*(G162/H162*100)^2)+(D163*(G163/H163*100)^2)+(D164*(G164/H164*100)^2))</f>
        <v>535853578.86479086</v>
      </c>
    </row>
    <row r="180" spans="1:9" x14ac:dyDescent="0.25">
      <c r="A180" s="28" t="s">
        <v>91</v>
      </c>
    </row>
    <row r="182" spans="1:9" x14ac:dyDescent="0.25">
      <c r="B182" s="32" t="s">
        <v>14</v>
      </c>
      <c r="C182" s="32" t="s">
        <v>15</v>
      </c>
      <c r="D182" s="32" t="s">
        <v>16</v>
      </c>
      <c r="E182" s="32" t="s">
        <v>17</v>
      </c>
    </row>
    <row r="183" spans="1:9" x14ac:dyDescent="0.25">
      <c r="B183" s="32" t="s">
        <v>27</v>
      </c>
      <c r="C183" s="32" t="s">
        <v>28</v>
      </c>
      <c r="D183" s="32" t="s">
        <v>29</v>
      </c>
      <c r="E183" s="32" t="s">
        <v>30</v>
      </c>
    </row>
    <row r="184" spans="1:9" x14ac:dyDescent="0.25">
      <c r="B184" s="32" t="s">
        <v>37</v>
      </c>
      <c r="C184" s="32" t="s">
        <v>38</v>
      </c>
      <c r="D184" s="32" t="s">
        <v>39</v>
      </c>
      <c r="E184" s="32" t="s">
        <v>39</v>
      </c>
    </row>
    <row r="185" spans="1:9" x14ac:dyDescent="0.25">
      <c r="A185" t="s">
        <v>92</v>
      </c>
      <c r="B185">
        <v>1939.8911804026425</v>
      </c>
      <c r="C185">
        <v>0.2716438083254693</v>
      </c>
      <c r="D185">
        <v>0.12562708398867506</v>
      </c>
      <c r="E185">
        <v>0.19766884764601056</v>
      </c>
    </row>
    <row r="186" spans="1:9" x14ac:dyDescent="0.25">
      <c r="A186" t="s">
        <v>93</v>
      </c>
      <c r="B186">
        <v>1305.868040564199</v>
      </c>
      <c r="C186">
        <v>2.3353252362909417E-3</v>
      </c>
      <c r="D186">
        <v>2.8474830094338262</v>
      </c>
      <c r="E186">
        <v>2.1837231021872756</v>
      </c>
    </row>
    <row r="187" spans="1:9" x14ac:dyDescent="0.25">
      <c r="A187" s="51" t="s">
        <v>94</v>
      </c>
      <c r="B187" s="52">
        <f>B186/B185</f>
        <v>0.67316561555434973</v>
      </c>
      <c r="C187" s="52">
        <f t="shared" ref="C187:E187" si="69">C186/C185</f>
        <v>8.5970125757215046E-3</v>
      </c>
      <c r="D187" s="52">
        <f t="shared" si="69"/>
        <v>22.666155410329505</v>
      </c>
      <c r="E187" s="53">
        <f t="shared" si="69"/>
        <v>11.047381153847429</v>
      </c>
    </row>
    <row r="189" spans="1:9" x14ac:dyDescent="0.25">
      <c r="B189" s="68" t="s">
        <v>95</v>
      </c>
      <c r="C189" s="68"/>
      <c r="D189" s="68"/>
      <c r="E189" s="68"/>
      <c r="F189" s="68"/>
      <c r="G189" s="68"/>
      <c r="H189" s="68"/>
      <c r="I189" s="54"/>
    </row>
  </sheetData>
  <mergeCells count="12">
    <mergeCell ref="A50:G50"/>
    <mergeCell ref="A5:G5"/>
    <mergeCell ref="A6:G6"/>
    <mergeCell ref="A47:G47"/>
    <mergeCell ref="A48:G48"/>
    <mergeCell ref="A49:G49"/>
    <mergeCell ref="A3:G3"/>
    <mergeCell ref="H3:O3"/>
    <mergeCell ref="P3:W3"/>
    <mergeCell ref="A4:G4"/>
    <mergeCell ref="H4:O4"/>
    <mergeCell ref="P4:W4"/>
  </mergeCells>
  <pageMargins left="0.67986111111111103" right="9.9305555555555605E-2" top="0.87361111111111101" bottom="0.62222222222222201" header="0.33055555555555599" footer="0.35694444444444401"/>
  <pageSetup paperSize="9" orientation="portrait" useFirstPageNumber="1" horizontalDpi="300" verticalDpi="300"/>
  <headerFooter>
    <oddHeader>&amp;C&amp;"Times New Roman,Regular"&amp;16LCF0510 inventario Florestal - 2021
Aula 09 - Exercicios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111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Pedro</dc:creator>
  <dc:description/>
  <cp:lastModifiedBy>Pedro</cp:lastModifiedBy>
  <cp:revision>50</cp:revision>
  <dcterms:created xsi:type="dcterms:W3CDTF">2021-10-07T15:22:39Z</dcterms:created>
  <dcterms:modified xsi:type="dcterms:W3CDTF">2021-11-19T02:59:49Z</dcterms:modified>
  <dc:language>pt-BR</dc:language>
</cp:coreProperties>
</file>