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P\Engenharia Florestal\10º Semestre\Inventário Florestal\"/>
    </mc:Choice>
  </mc:AlternateContent>
  <xr:revisionPtr revIDLastSave="0" documentId="13_ncr:1_{BC08CF54-3970-4B1E-8B3B-A2BBAEBDB902}" xr6:coauthVersionLast="47" xr6:coauthVersionMax="47" xr10:uidLastSave="{00000000-0000-0000-0000-000000000000}"/>
  <bookViews>
    <workbookView xWindow="0" yWindow="0" windowWidth="20490" windowHeight="10920" tabRatio="500" xr2:uid="{00000000-000D-0000-FFFF-FFFF00000000}"/>
  </bookViews>
  <sheets>
    <sheet name="I e II" sheetId="1" r:id="rId1"/>
    <sheet name="I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4" i="2" l="1"/>
  <c r="M3" i="2"/>
  <c r="L4" i="2"/>
  <c r="L3" i="2"/>
  <c r="J4" i="2"/>
  <c r="J3" i="2"/>
  <c r="B31" i="2"/>
  <c r="H4" i="2" s="1"/>
  <c r="I4" i="2" s="1"/>
  <c r="B2" i="2"/>
  <c r="H3" i="2" s="1"/>
  <c r="I3" i="2" s="1"/>
  <c r="H134" i="1"/>
  <c r="H133" i="1"/>
  <c r="H132" i="1"/>
  <c r="H131" i="1"/>
  <c r="G134" i="1"/>
  <c r="G133" i="1"/>
  <c r="F146" i="1" s="1"/>
  <c r="G132" i="1"/>
  <c r="G131" i="1"/>
  <c r="H108" i="1"/>
  <c r="H107" i="1"/>
  <c r="H106" i="1"/>
  <c r="H105" i="1"/>
  <c r="G108" i="1"/>
  <c r="F121" i="1" s="1"/>
  <c r="G107" i="1"/>
  <c r="G106" i="1"/>
  <c r="G105" i="1"/>
  <c r="H54" i="1"/>
  <c r="G55" i="1"/>
  <c r="G53" i="1"/>
  <c r="H56" i="1"/>
  <c r="H55" i="1"/>
  <c r="H53" i="1"/>
  <c r="G56" i="1"/>
  <c r="G54" i="1"/>
  <c r="C56" i="1"/>
  <c r="D56" i="1" s="1"/>
  <c r="C55" i="1"/>
  <c r="D55" i="1" s="1"/>
  <c r="C54" i="1"/>
  <c r="D54" i="1" s="1"/>
  <c r="C53" i="1"/>
  <c r="D53" i="1" s="1"/>
  <c r="C134" i="1"/>
  <c r="C133" i="1"/>
  <c r="C132" i="1"/>
  <c r="D132" i="1" s="1"/>
  <c r="C131" i="1"/>
  <c r="D131" i="1" s="1"/>
  <c r="C108" i="1"/>
  <c r="D108" i="1" s="1"/>
  <c r="C107" i="1"/>
  <c r="D107" i="1" s="1"/>
  <c r="C106" i="1"/>
  <c r="D106" i="1" s="1"/>
  <c r="C105" i="1"/>
  <c r="D105" i="1" s="1"/>
  <c r="C82" i="1"/>
  <c r="D82" i="1" s="1"/>
  <c r="D95" i="1" s="1"/>
  <c r="C81" i="1"/>
  <c r="D81" i="1" s="1"/>
  <c r="D94" i="1" s="1"/>
  <c r="C80" i="1"/>
  <c r="D80" i="1" s="1"/>
  <c r="C79" i="1"/>
  <c r="D79" i="1" s="1"/>
  <c r="D134" i="1"/>
  <c r="D133" i="1"/>
  <c r="G81" i="1"/>
  <c r="G80" i="1"/>
  <c r="G79" i="1"/>
  <c r="H82" i="1"/>
  <c r="H81" i="1"/>
  <c r="H80" i="1"/>
  <c r="H79" i="1"/>
  <c r="G82" i="1"/>
  <c r="F95" i="1" s="1"/>
  <c r="E56" i="1"/>
  <c r="E55" i="1"/>
  <c r="E54" i="1"/>
  <c r="E53" i="1"/>
  <c r="N3" i="2" l="1"/>
  <c r="K3" i="2"/>
  <c r="P3" i="2" s="1"/>
  <c r="O3" i="2"/>
  <c r="N4" i="2"/>
  <c r="I6" i="2"/>
  <c r="K4" i="2"/>
  <c r="P4" i="2" s="1"/>
  <c r="Q4" i="2" s="1"/>
  <c r="O4" i="2"/>
  <c r="F67" i="1"/>
  <c r="J79" i="1"/>
  <c r="J56" i="1"/>
  <c r="F55" i="1"/>
  <c r="K55" i="1" s="1"/>
  <c r="L55" i="1" s="1"/>
  <c r="J55" i="1"/>
  <c r="F92" i="1"/>
  <c r="J54" i="1"/>
  <c r="F54" i="1"/>
  <c r="K54" i="1" s="1"/>
  <c r="L54" i="1" s="1"/>
  <c r="I55" i="1"/>
  <c r="F93" i="1"/>
  <c r="F94" i="1"/>
  <c r="H94" i="1" s="1"/>
  <c r="D93" i="1"/>
  <c r="J80" i="1"/>
  <c r="F53" i="1"/>
  <c r="K53" i="1" s="1"/>
  <c r="L53" i="1" s="1"/>
  <c r="J81" i="1"/>
  <c r="F56" i="1"/>
  <c r="J53" i="1"/>
  <c r="J82" i="1"/>
  <c r="I53" i="1"/>
  <c r="F119" i="1"/>
  <c r="F69" i="1"/>
  <c r="F68" i="1"/>
  <c r="D69" i="1"/>
  <c r="K56" i="1"/>
  <c r="L56" i="1" s="1"/>
  <c r="D67" i="1"/>
  <c r="I54" i="1"/>
  <c r="I56" i="1"/>
  <c r="F66" i="1"/>
  <c r="D66" i="1"/>
  <c r="D68" i="1"/>
  <c r="D58" i="1"/>
  <c r="E67" i="1" s="1"/>
  <c r="I133" i="1"/>
  <c r="I131" i="1"/>
  <c r="H95" i="1"/>
  <c r="D92" i="1"/>
  <c r="D147" i="1"/>
  <c r="D145" i="1"/>
  <c r="F131" i="1"/>
  <c r="K131" i="1" s="1"/>
  <c r="J131" i="1"/>
  <c r="F133" i="1"/>
  <c r="K133" i="1" s="1"/>
  <c r="L133" i="1" s="1"/>
  <c r="J133" i="1"/>
  <c r="D144" i="1"/>
  <c r="F144" i="1"/>
  <c r="D146" i="1"/>
  <c r="D136" i="1"/>
  <c r="F108" i="1"/>
  <c r="K108" i="1" s="1"/>
  <c r="L108" i="1" s="1"/>
  <c r="D121" i="1"/>
  <c r="J108" i="1"/>
  <c r="D119" i="1"/>
  <c r="I106" i="1"/>
  <c r="J106" i="1"/>
  <c r="F106" i="1"/>
  <c r="K106" i="1" s="1"/>
  <c r="L106" i="1" s="1"/>
  <c r="I108" i="1"/>
  <c r="D120" i="1"/>
  <c r="D118" i="1"/>
  <c r="D110" i="1"/>
  <c r="D84" i="1"/>
  <c r="E147" i="1" s="1"/>
  <c r="I82" i="1"/>
  <c r="I81" i="1"/>
  <c r="I80" i="1"/>
  <c r="F82" i="1"/>
  <c r="K82" i="1" s="1"/>
  <c r="L82" i="1" s="1"/>
  <c r="F81" i="1"/>
  <c r="K81" i="1" s="1"/>
  <c r="L81" i="1" s="1"/>
  <c r="F80" i="1"/>
  <c r="K80" i="1" s="1"/>
  <c r="L80" i="1" s="1"/>
  <c r="I79" i="1"/>
  <c r="F79" i="1"/>
  <c r="K79" i="1" s="1"/>
  <c r="O6" i="2" l="1"/>
  <c r="P6" i="2"/>
  <c r="N6" i="2"/>
  <c r="M6" i="2" s="1"/>
  <c r="Q3" i="2"/>
  <c r="Q6" i="2" s="1"/>
  <c r="M8" i="2" s="1"/>
  <c r="M7" i="2"/>
  <c r="E69" i="1"/>
  <c r="G69" i="1" s="1"/>
  <c r="J58" i="1"/>
  <c r="H59" i="1" s="1"/>
  <c r="E66" i="1"/>
  <c r="G66" i="1" s="1"/>
  <c r="H92" i="1"/>
  <c r="H93" i="1"/>
  <c r="E68" i="1"/>
  <c r="G68" i="1" s="1"/>
  <c r="I58" i="1"/>
  <c r="H58" i="1" s="1"/>
  <c r="H68" i="1"/>
  <c r="H67" i="1"/>
  <c r="G67" i="1"/>
  <c r="D72" i="1"/>
  <c r="H66" i="1"/>
  <c r="K58" i="1"/>
  <c r="L58" i="1"/>
  <c r="H69" i="1"/>
  <c r="E144" i="1"/>
  <c r="G144" i="1" s="1"/>
  <c r="E121" i="1"/>
  <c r="G121" i="1" s="1"/>
  <c r="E118" i="1"/>
  <c r="E120" i="1"/>
  <c r="E93" i="1"/>
  <c r="G93" i="1" s="1"/>
  <c r="E94" i="1"/>
  <c r="G94" i="1" s="1"/>
  <c r="E95" i="1"/>
  <c r="G95" i="1" s="1"/>
  <c r="E119" i="1"/>
  <c r="D98" i="1"/>
  <c r="E145" i="1"/>
  <c r="E146" i="1"/>
  <c r="G146" i="1" s="1"/>
  <c r="E92" i="1"/>
  <c r="G92" i="1" s="1"/>
  <c r="H146" i="1"/>
  <c r="D150" i="1"/>
  <c r="H144" i="1"/>
  <c r="L131" i="1"/>
  <c r="H121" i="1"/>
  <c r="D124" i="1"/>
  <c r="H119" i="1"/>
  <c r="L79" i="1"/>
  <c r="L84" i="1" s="1"/>
  <c r="K84" i="1"/>
  <c r="I84" i="1"/>
  <c r="H84" i="1" s="1"/>
  <c r="J84" i="1"/>
  <c r="H85" i="1" s="1"/>
  <c r="M10" i="2" l="1"/>
  <c r="M11" i="2" s="1"/>
  <c r="H98" i="1"/>
  <c r="E72" i="1"/>
  <c r="G98" i="1"/>
  <c r="H72" i="1"/>
  <c r="G72" i="1"/>
  <c r="E124" i="1"/>
  <c r="H60" i="1"/>
  <c r="G119" i="1"/>
  <c r="H86" i="1"/>
  <c r="E150" i="1"/>
  <c r="E98" i="1"/>
  <c r="V72" i="1"/>
  <c r="F105" i="1"/>
  <c r="I75" i="1" l="1"/>
  <c r="I74" i="1" s="1"/>
  <c r="J75" i="1" s="1"/>
  <c r="J74" i="1" s="1"/>
  <c r="K75" i="1" s="1"/>
  <c r="K74" i="1" s="1"/>
  <c r="I73" i="1"/>
  <c r="I72" i="1" s="1"/>
  <c r="J73" i="1" s="1"/>
  <c r="J72" i="1" s="1"/>
  <c r="K73" i="1" s="1"/>
  <c r="K72" i="1" s="1"/>
  <c r="I99" i="1"/>
  <c r="I98" i="1" s="1"/>
  <c r="J99" i="1" s="1"/>
  <c r="J98" i="1" s="1"/>
  <c r="K99" i="1" s="1"/>
  <c r="K98" i="1" s="1"/>
  <c r="I101" i="1"/>
  <c r="I100" i="1"/>
  <c r="J101" i="1" s="1"/>
  <c r="J100" i="1" s="1"/>
  <c r="K101" i="1" s="1"/>
  <c r="K100" i="1" s="1"/>
  <c r="H61" i="1"/>
  <c r="H62" i="1" s="1"/>
  <c r="H63" i="1" s="1"/>
  <c r="K105" i="1"/>
  <c r="L105" i="1" s="1"/>
  <c r="H87" i="1"/>
  <c r="H88" i="1" s="1"/>
  <c r="H89" i="1" s="1"/>
  <c r="F107" i="1"/>
  <c r="I107" i="1"/>
  <c r="F132" i="1"/>
  <c r="I132" i="1"/>
  <c r="J105" i="1"/>
  <c r="I134" i="1"/>
  <c r="F134" i="1"/>
  <c r="K134" i="1" l="1"/>
  <c r="L134" i="1" s="1"/>
  <c r="K107" i="1"/>
  <c r="L107" i="1" s="1"/>
  <c r="L110" i="1" s="1"/>
  <c r="I136" i="1"/>
  <c r="H136" i="1" s="1"/>
  <c r="F118" i="1"/>
  <c r="I105" i="1"/>
  <c r="I110" i="1" s="1"/>
  <c r="H110" i="1" s="1"/>
  <c r="F145" i="1"/>
  <c r="J132" i="1"/>
  <c r="F120" i="1"/>
  <c r="J107" i="1"/>
  <c r="J110" i="1" s="1"/>
  <c r="H111" i="1" s="1"/>
  <c r="F147" i="1"/>
  <c r="J134" i="1"/>
  <c r="K132" i="1"/>
  <c r="K110" i="1" l="1"/>
  <c r="J136" i="1"/>
  <c r="H137" i="1" s="1"/>
  <c r="H112" i="1"/>
  <c r="H145" i="1"/>
  <c r="G145" i="1"/>
  <c r="L132" i="1"/>
  <c r="L136" i="1" s="1"/>
  <c r="K136" i="1"/>
  <c r="H120" i="1"/>
  <c r="G120" i="1"/>
  <c r="G147" i="1"/>
  <c r="H147" i="1"/>
  <c r="H118" i="1"/>
  <c r="H124" i="1" s="1"/>
  <c r="G118" i="1"/>
  <c r="G124" i="1" s="1"/>
  <c r="H113" i="1" l="1"/>
  <c r="H114" i="1" s="1"/>
  <c r="H115" i="1" s="1"/>
  <c r="I125" i="1"/>
  <c r="I124" i="1" s="1"/>
  <c r="J125" i="1" s="1"/>
  <c r="J124" i="1" s="1"/>
  <c r="K125" i="1" s="1"/>
  <c r="K124" i="1" s="1"/>
  <c r="I127" i="1"/>
  <c r="I126" i="1" s="1"/>
  <c r="J127" i="1" s="1"/>
  <c r="J126" i="1" s="1"/>
  <c r="K127" i="1" s="1"/>
  <c r="K126" i="1" s="1"/>
  <c r="G150" i="1"/>
  <c r="H138" i="1"/>
  <c r="H150" i="1"/>
  <c r="H139" i="1" l="1"/>
  <c r="H140" i="1" s="1"/>
  <c r="H141" i="1" s="1"/>
  <c r="I153" i="1"/>
  <c r="I152" i="1" s="1"/>
  <c r="J153" i="1" s="1"/>
  <c r="J152" i="1" s="1"/>
  <c r="I151" i="1"/>
  <c r="I150" i="1" s="1"/>
  <c r="J151" i="1" l="1"/>
  <c r="J150" i="1" s="1"/>
  <c r="K151" i="1" s="1"/>
  <c r="K150" i="1" s="1"/>
  <c r="K153" i="1"/>
  <c r="K152" i="1" s="1"/>
  <c r="B45" i="1"/>
</calcChain>
</file>

<file path=xl/sharedStrings.xml><?xml version="1.0" encoding="utf-8"?>
<sst xmlns="http://schemas.openxmlformats.org/spreadsheetml/2006/main" count="288" uniqueCount="88">
  <si>
    <t>I. Amostra Estratificada</t>
  </si>
  <si>
    <t>II. Estratificação de Floresta de Eucalipto</t>
  </si>
  <si>
    <t>III. Aplicação da Estratificação</t>
  </si>
  <si>
    <t>A tabela abaixo apresenta os dados de um levantamento do palmiteiro juçara (Euterpe edulis – Arecaceae) na região do Vale do Ribeira, Estado de São Paulo.</t>
  </si>
  <si>
    <t>A tabela abaixo apresenta os dados de “cadastro” dos talhões de uma floresta plantada de eucalipto.</t>
  </si>
  <si>
    <t>Com base na estratificação realizada no exercício anterior, encontre o Intervalo de confiança para produção média da floresta, segundo os dados de parcela apresentados abaixo (parcelas de 540m2)</t>
  </si>
  <si>
    <t>O exemplo é composto de 34 arvoredos (parcelas de 1600m2) locados no campo segundo a amostragem estratificada.</t>
  </si>
  <si>
    <t>Com base nas informações apresentadas, defina os ESTRATOS  para se realizar uma amostragem estratificada, determinando os talhões quem compõem cada estrato bem como as suas áreas totais (ha).</t>
  </si>
  <si>
    <t>Assuma que a estatística t para cálculo do intervalo de confiança é igual a 2,00.</t>
  </si>
  <si>
    <t>Em cada um dos quatro estratos, realizou-se uma amostragem aleatória simples.</t>
  </si>
  <si>
    <t>A área basal e os DAP médio e médio quadrático se referem apenas às plantas do palmiteiro juçara.</t>
  </si>
  <si>
    <t>Estrato</t>
  </si>
  <si>
    <t>Área do</t>
  </si>
  <si>
    <t>Parcela</t>
  </si>
  <si>
    <t>Número de</t>
  </si>
  <si>
    <t>Área</t>
  </si>
  <si>
    <t>DAP</t>
  </si>
  <si>
    <t>DAP médio</t>
  </si>
  <si>
    <t>Talhão</t>
  </si>
  <si>
    <t>Idade</t>
  </si>
  <si>
    <t>Área (ha)</t>
  </si>
  <si>
    <t>Rotação</t>
  </si>
  <si>
    <t>Espaçamento</t>
  </si>
  <si>
    <t>Espécie</t>
  </si>
  <si>
    <t>Manejo</t>
  </si>
  <si>
    <t>Tipo de Plantio</t>
  </si>
  <si>
    <t>Produção</t>
  </si>
  <si>
    <t>Palmiterios</t>
  </si>
  <si>
    <t>Basal</t>
  </si>
  <si>
    <t>médio</t>
  </si>
  <si>
    <t>quadrático</t>
  </si>
  <si>
    <t>330X180</t>
  </si>
  <si>
    <t>E. grandis</t>
  </si>
  <si>
    <t>Reforma</t>
  </si>
  <si>
    <t>clonal</t>
  </si>
  <si>
    <t>(m3/ha)</t>
  </si>
  <si>
    <t>(ha)</t>
  </si>
  <si>
    <t>(1/ha)</t>
  </si>
  <si>
    <t>(m2/ha)</t>
  </si>
  <si>
    <t>(cm)</t>
  </si>
  <si>
    <t>E. grandis x E. urophylla</t>
  </si>
  <si>
    <t>I</t>
  </si>
  <si>
    <t>300x200</t>
  </si>
  <si>
    <t>Condução</t>
  </si>
  <si>
    <t>300x180</t>
  </si>
  <si>
    <t>seminal</t>
  </si>
  <si>
    <t>330x220</t>
  </si>
  <si>
    <t>II</t>
  </si>
  <si>
    <t>III</t>
  </si>
  <si>
    <t>IV</t>
  </si>
  <si>
    <t>Total</t>
  </si>
  <si>
    <t>1) Econtre o invervalo de confiança de 95% para a MÉDIA POPULACIONAL dos atributos.</t>
  </si>
  <si>
    <t>2) Encontre o tamanho de amostra necessária para erro amostral aceitável de 10% para cada um dos atributos</t>
  </si>
  <si>
    <t>3) Encontre o tamanho de amostra necessária para erro amostral aceitável de 5% para cada um dos atributos</t>
  </si>
  <si>
    <t>4) Compare a precisão da Amostragem Estratificada com a da Amostragem Aleatória Simples (Exercício Aula 8).</t>
  </si>
  <si>
    <t>V%</t>
  </si>
  <si>
    <t>n</t>
  </si>
  <si>
    <t>t-stat</t>
  </si>
  <si>
    <t>N</t>
  </si>
  <si>
    <t>n*</t>
  </si>
  <si>
    <t>Estrato I</t>
  </si>
  <si>
    <t>Estrato II</t>
  </si>
  <si>
    <t>a . S²</t>
  </si>
  <si>
    <t>(a . S²)²/n-1</t>
  </si>
  <si>
    <t>nE</t>
  </si>
  <si>
    <t>Estrato III</t>
  </si>
  <si>
    <t>Floresta</t>
  </si>
  <si>
    <t xml:space="preserve">N² . V%² / W </t>
  </si>
  <si>
    <t>N . V%²</t>
  </si>
  <si>
    <t>Área do Estrato</t>
  </si>
  <si>
    <t>a</t>
  </si>
  <si>
    <t>s²</t>
  </si>
  <si>
    <t>m</t>
  </si>
  <si>
    <t>tau</t>
  </si>
  <si>
    <t>var(tau)</t>
  </si>
  <si>
    <t>Estrato IV</t>
  </si>
  <si>
    <t>Var da Média</t>
  </si>
  <si>
    <t>IC(95%)</t>
  </si>
  <si>
    <t>IC(95%)%</t>
  </si>
  <si>
    <t>Proporção</t>
  </si>
  <si>
    <t>Erro</t>
  </si>
  <si>
    <t>Produção (m³/há)</t>
  </si>
  <si>
    <t>Presente na próxima planilha</t>
  </si>
  <si>
    <t>Número de Palmiteiros</t>
  </si>
  <si>
    <t>Área basal</t>
  </si>
  <si>
    <t>DAP Médio Quadrático</t>
  </si>
  <si>
    <t>DAP Médio</t>
  </si>
  <si>
    <t>4) Tanto o intervalo de confiança quanto o tamanho de amostra necessário para se obter um erro aceitável de 10% foram menores no caso da amostragem estratificada, indicando maior precisão em comparação com a amostragem aleatória simples, o que se dá em decorrência da maior homogeneidade dentro de cada um dos estratos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</si>
</sst>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"/>
      <family val="2"/>
      <charset val="1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theme="1"/>
      <name val="Century"/>
      <family val="1"/>
    </font>
    <font>
      <sz val="9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0" xfId="0" applyBorder="1"/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0" fontId="0" fillId="2" borderId="0" xfId="0" applyFill="1"/>
    <xf numFmtId="0" fontId="0" fillId="2" borderId="6" xfId="0" applyFill="1" applyBorder="1"/>
    <xf numFmtId="0" fontId="5" fillId="0" borderId="0" xfId="0" applyFont="1"/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/>
    <xf numFmtId="0" fontId="6" fillId="2" borderId="0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11" fontId="6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1" fontId="6" fillId="2" borderId="9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5" fillId="2" borderId="0" xfId="0" applyFont="1" applyFill="1" applyBorder="1" applyAlignment="1">
      <alignment horizontal="right"/>
    </xf>
    <xf numFmtId="11" fontId="5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" xfId="0" applyFont="1" applyFill="1" applyBorder="1"/>
    <xf numFmtId="0" fontId="5" fillId="2" borderId="8" xfId="0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5" fillId="2" borderId="5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2" fontId="6" fillId="6" borderId="0" xfId="0" applyNumberFormat="1" applyFont="1" applyFill="1" applyBorder="1" applyAlignment="1">
      <alignment horizontal="center" vertical="center"/>
    </xf>
    <xf numFmtId="1" fontId="5" fillId="6" borderId="0" xfId="0" applyNumberFormat="1" applyFont="1" applyFill="1" applyBorder="1" applyAlignment="1">
      <alignment horizontal="center"/>
    </xf>
    <xf numFmtId="11" fontId="5" fillId="6" borderId="0" xfId="0" applyNumberFormat="1" applyFont="1" applyFill="1" applyBorder="1" applyAlignment="1">
      <alignment horizontal="center"/>
    </xf>
    <xf numFmtId="11" fontId="5" fillId="6" borderId="9" xfId="0" applyNumberFormat="1" applyFont="1" applyFill="1" applyBorder="1" applyAlignment="1">
      <alignment horizontal="center"/>
    </xf>
    <xf numFmtId="1" fontId="6" fillId="7" borderId="0" xfId="0" applyNumberFormat="1" applyFont="1" applyFill="1" applyBorder="1" applyAlignment="1">
      <alignment horizontal="center" vertical="center"/>
    </xf>
    <xf numFmtId="2" fontId="6" fillId="7" borderId="0" xfId="0" applyNumberFormat="1" applyFont="1" applyFill="1" applyBorder="1" applyAlignment="1">
      <alignment horizontal="center" vertical="center"/>
    </xf>
    <xf numFmtId="1" fontId="6" fillId="5" borderId="0" xfId="0" applyNumberFormat="1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" fontId="6" fillId="8" borderId="0" xfId="0" applyNumberFormat="1" applyFont="1" applyFill="1" applyBorder="1" applyAlignment="1">
      <alignment horizontal="center" vertical="center"/>
    </xf>
    <xf numFmtId="1" fontId="6" fillId="9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" fontId="6" fillId="7" borderId="9" xfId="0" applyNumberFormat="1" applyFont="1" applyFill="1" applyBorder="1" applyAlignment="1">
      <alignment horizontal="center" vertical="center"/>
    </xf>
    <xf numFmtId="1" fontId="6" fillId="5" borderId="9" xfId="0" applyNumberFormat="1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2" fontId="6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11" fontId="6" fillId="0" borderId="0" xfId="0" applyNumberFormat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11" fontId="5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center"/>
    </xf>
    <xf numFmtId="0" fontId="5" fillId="10" borderId="0" xfId="0" applyFont="1" applyFill="1"/>
    <xf numFmtId="2" fontId="5" fillId="10" borderId="0" xfId="0" applyNumberFormat="1" applyFont="1" applyFill="1" applyAlignment="1">
      <alignment horizontal="center"/>
    </xf>
    <xf numFmtId="0" fontId="0" fillId="11" borderId="10" xfId="0" applyFill="1" applyBorder="1" applyAlignment="1">
      <alignment horizontal="left" wrapText="1"/>
    </xf>
    <xf numFmtId="0" fontId="0" fillId="11" borderId="2" xfId="0" applyFill="1" applyBorder="1" applyAlignment="1">
      <alignment horizontal="left" wrapText="1"/>
    </xf>
    <xf numFmtId="0" fontId="0" fillId="11" borderId="1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4"/>
  <sheetViews>
    <sheetView tabSelected="1" zoomScale="50" zoomScaleNormal="50" workbookViewId="0"/>
  </sheetViews>
  <sheetFormatPr defaultColWidth="11.5703125" defaultRowHeight="12.75" x14ac:dyDescent="0.2"/>
  <cols>
    <col min="1" max="1" width="7.85546875" customWidth="1"/>
    <col min="2" max="2" width="11.7109375" customWidth="1"/>
    <col min="3" max="3" width="12" customWidth="1"/>
    <col min="4" max="4" width="13.140625" bestFit="1" customWidth="1"/>
    <col min="5" max="5" width="17" customWidth="1"/>
    <col min="6" max="6" width="16.42578125" customWidth="1"/>
    <col min="7" max="7" width="15" bestFit="1" customWidth="1"/>
    <col min="8" max="8" width="8.42578125" customWidth="1"/>
    <col min="9" max="9" width="11.42578125" bestFit="1" customWidth="1"/>
    <col min="10" max="10" width="9.28515625" customWidth="1"/>
    <col min="11" max="11" width="11.7109375" bestFit="1" customWidth="1"/>
    <col min="12" max="12" width="24.85546875" bestFit="1" customWidth="1"/>
    <col min="13" max="13" width="13.140625" customWidth="1"/>
    <col min="14" max="14" width="21" customWidth="1"/>
    <col min="15" max="15" width="10.42578125" customWidth="1"/>
    <col min="16" max="16" width="14.7109375" customWidth="1"/>
    <col min="17" max="17" width="13.28515625" bestFit="1" customWidth="1"/>
  </cols>
  <sheetData>
    <row r="1" spans="1:24" ht="18.75" x14ac:dyDescent="0.2">
      <c r="A1" s="1" t="s">
        <v>0</v>
      </c>
      <c r="H1" s="1" t="s">
        <v>1</v>
      </c>
      <c r="I1" s="1"/>
      <c r="Q1" s="1" t="s">
        <v>2</v>
      </c>
      <c r="T1" s="88" t="s">
        <v>82</v>
      </c>
      <c r="U1" s="88"/>
      <c r="V1" s="88"/>
      <c r="W1" s="88"/>
    </row>
    <row r="2" spans="1:24" ht="15.75" x14ac:dyDescent="0.2">
      <c r="A2" s="2"/>
    </row>
    <row r="3" spans="1:24" ht="23.85" customHeight="1" x14ac:dyDescent="0.2">
      <c r="A3" s="89" t="s">
        <v>3</v>
      </c>
      <c r="B3" s="89"/>
      <c r="C3" s="89"/>
      <c r="D3" s="89"/>
      <c r="E3" s="89"/>
      <c r="F3" s="89"/>
      <c r="G3" s="89"/>
      <c r="H3" s="90" t="s">
        <v>4</v>
      </c>
      <c r="I3" s="90"/>
      <c r="J3" s="90"/>
      <c r="K3" s="90"/>
      <c r="L3" s="90"/>
      <c r="M3" s="90"/>
      <c r="N3" s="90"/>
      <c r="O3" s="90"/>
      <c r="P3" s="90"/>
      <c r="Q3" s="89" t="s">
        <v>5</v>
      </c>
      <c r="R3" s="89"/>
      <c r="S3" s="89"/>
      <c r="T3" s="89"/>
      <c r="U3" s="89"/>
      <c r="V3" s="89"/>
      <c r="W3" s="89"/>
      <c r="X3" s="89"/>
    </row>
    <row r="4" spans="1:24" ht="25.35" customHeight="1" x14ac:dyDescent="0.2">
      <c r="A4" s="89" t="s">
        <v>6</v>
      </c>
      <c r="B4" s="89"/>
      <c r="C4" s="89"/>
      <c r="D4" s="89"/>
      <c r="E4" s="89"/>
      <c r="F4" s="89"/>
      <c r="G4" s="89"/>
      <c r="H4" s="89" t="s">
        <v>7</v>
      </c>
      <c r="I4" s="89"/>
      <c r="J4" s="89"/>
      <c r="K4" s="89"/>
      <c r="L4" s="89"/>
      <c r="M4" s="89"/>
      <c r="N4" s="89"/>
      <c r="O4" s="89"/>
      <c r="P4" s="89"/>
      <c r="Q4" s="90" t="s">
        <v>8</v>
      </c>
      <c r="R4" s="90"/>
      <c r="S4" s="90"/>
      <c r="T4" s="90"/>
      <c r="U4" s="90"/>
      <c r="V4" s="90"/>
      <c r="W4" s="90"/>
      <c r="X4" s="90"/>
    </row>
    <row r="5" spans="1:24" ht="12.75" customHeight="1" x14ac:dyDescent="0.2">
      <c r="A5" s="89" t="s">
        <v>9</v>
      </c>
      <c r="B5" s="89"/>
      <c r="C5" s="89"/>
      <c r="D5" s="89"/>
      <c r="E5" s="89"/>
      <c r="F5" s="89"/>
      <c r="G5" s="89"/>
    </row>
    <row r="6" spans="1:24" ht="12.75" customHeight="1" x14ac:dyDescent="0.2">
      <c r="A6" s="89" t="s">
        <v>10</v>
      </c>
      <c r="B6" s="89"/>
      <c r="C6" s="89"/>
      <c r="D6" s="89"/>
      <c r="E6" s="89"/>
      <c r="F6" s="89"/>
      <c r="G6" s="89"/>
    </row>
    <row r="8" spans="1:24" x14ac:dyDescent="0.2">
      <c r="A8" s="3" t="s">
        <v>11</v>
      </c>
      <c r="B8" s="3" t="s">
        <v>12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4" t="s">
        <v>18</v>
      </c>
      <c r="I8" s="4" t="s">
        <v>11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R8" s="5" t="s">
        <v>18</v>
      </c>
      <c r="S8" s="3" t="s">
        <v>13</v>
      </c>
      <c r="T8" s="6" t="s">
        <v>26</v>
      </c>
      <c r="U8" s="5" t="s">
        <v>18</v>
      </c>
      <c r="V8" s="3" t="s">
        <v>13</v>
      </c>
      <c r="W8" s="6" t="s">
        <v>26</v>
      </c>
    </row>
    <row r="9" spans="1:24" x14ac:dyDescent="0.2">
      <c r="A9" s="7"/>
      <c r="B9" s="7" t="s">
        <v>11</v>
      </c>
      <c r="C9" s="7"/>
      <c r="D9" s="7" t="s">
        <v>27</v>
      </c>
      <c r="E9" s="7" t="s">
        <v>28</v>
      </c>
      <c r="F9" s="7" t="s">
        <v>29</v>
      </c>
      <c r="G9" s="7" t="s">
        <v>30</v>
      </c>
      <c r="H9" s="8">
        <v>11</v>
      </c>
      <c r="I9" s="8">
        <v>1</v>
      </c>
      <c r="J9" s="9">
        <v>3.3342465753424699</v>
      </c>
      <c r="K9" s="9">
        <v>26.06</v>
      </c>
      <c r="L9" s="8">
        <v>1</v>
      </c>
      <c r="M9" s="8" t="s">
        <v>31</v>
      </c>
      <c r="N9" s="8" t="s">
        <v>32</v>
      </c>
      <c r="O9" s="8" t="s">
        <v>33</v>
      </c>
      <c r="P9" s="8" t="s">
        <v>34</v>
      </c>
      <c r="R9" s="10"/>
      <c r="S9" s="11"/>
      <c r="T9" s="12" t="s">
        <v>35</v>
      </c>
      <c r="U9" s="10"/>
      <c r="V9" s="11"/>
      <c r="W9" s="12" t="s">
        <v>35</v>
      </c>
    </row>
    <row r="10" spans="1:24" x14ac:dyDescent="0.2">
      <c r="A10" s="13"/>
      <c r="B10" s="13" t="s">
        <v>36</v>
      </c>
      <c r="C10" s="13"/>
      <c r="D10" s="13" t="s">
        <v>37</v>
      </c>
      <c r="E10" s="13" t="s">
        <v>38</v>
      </c>
      <c r="F10" s="13" t="s">
        <v>39</v>
      </c>
      <c r="G10" s="13" t="s">
        <v>39</v>
      </c>
      <c r="H10" s="8">
        <v>12</v>
      </c>
      <c r="I10" s="8">
        <v>1</v>
      </c>
      <c r="J10" s="9">
        <v>3.32328767123288</v>
      </c>
      <c r="K10" s="9">
        <v>22.41</v>
      </c>
      <c r="L10" s="8">
        <v>1</v>
      </c>
      <c r="M10" s="8" t="s">
        <v>31</v>
      </c>
      <c r="N10" s="8" t="s">
        <v>40</v>
      </c>
      <c r="O10" s="8" t="s">
        <v>33</v>
      </c>
      <c r="P10" s="8" t="s">
        <v>34</v>
      </c>
      <c r="R10" s="14">
        <v>11</v>
      </c>
      <c r="S10" s="8">
        <v>312</v>
      </c>
      <c r="T10" s="15">
        <v>179</v>
      </c>
      <c r="U10" s="14">
        <v>27</v>
      </c>
      <c r="V10" s="20">
        <v>103</v>
      </c>
      <c r="W10" s="15">
        <v>390</v>
      </c>
    </row>
    <row r="11" spans="1:24" x14ac:dyDescent="0.2">
      <c r="A11" s="7" t="s">
        <v>41</v>
      </c>
      <c r="B11" s="7">
        <v>1333.9</v>
      </c>
      <c r="C11" s="8">
        <v>1004</v>
      </c>
      <c r="D11" s="9">
        <v>631.25</v>
      </c>
      <c r="E11" s="9">
        <v>8.24</v>
      </c>
      <c r="F11" s="9">
        <v>5.91</v>
      </c>
      <c r="G11" s="9">
        <v>12.89</v>
      </c>
      <c r="H11" s="8">
        <v>13</v>
      </c>
      <c r="I11" s="8">
        <v>1</v>
      </c>
      <c r="J11" s="9">
        <v>3.3287671232876699</v>
      </c>
      <c r="K11" s="9">
        <v>31.05</v>
      </c>
      <c r="L11" s="8">
        <v>1</v>
      </c>
      <c r="M11" s="8" t="s">
        <v>31</v>
      </c>
      <c r="N11" s="8" t="s">
        <v>40</v>
      </c>
      <c r="O11" s="8" t="s">
        <v>33</v>
      </c>
      <c r="P11" s="8" t="s">
        <v>34</v>
      </c>
      <c r="R11" s="10"/>
      <c r="S11" s="11">
        <v>328</v>
      </c>
      <c r="T11" s="16">
        <v>160</v>
      </c>
      <c r="U11" s="14"/>
      <c r="V11" s="8">
        <v>188</v>
      </c>
      <c r="W11" s="15">
        <v>387</v>
      </c>
    </row>
    <row r="12" spans="1:24" x14ac:dyDescent="0.2">
      <c r="A12" s="7"/>
      <c r="B12" s="7"/>
      <c r="C12" s="8">
        <v>1006</v>
      </c>
      <c r="D12" s="9">
        <v>1025</v>
      </c>
      <c r="E12" s="9">
        <v>10.32</v>
      </c>
      <c r="F12" s="9">
        <v>9.59</v>
      </c>
      <c r="G12" s="9">
        <v>11.32</v>
      </c>
      <c r="H12" s="8">
        <v>15</v>
      </c>
      <c r="I12" s="8">
        <v>2</v>
      </c>
      <c r="J12" s="9">
        <v>6.0410958904109604</v>
      </c>
      <c r="K12" s="9">
        <v>23.4</v>
      </c>
      <c r="L12" s="8">
        <v>2</v>
      </c>
      <c r="M12" s="8" t="s">
        <v>42</v>
      </c>
      <c r="N12" s="8" t="s">
        <v>32</v>
      </c>
      <c r="O12" s="8" t="s">
        <v>43</v>
      </c>
      <c r="P12" s="8" t="s">
        <v>34</v>
      </c>
      <c r="R12" s="10">
        <v>12</v>
      </c>
      <c r="S12" s="11">
        <v>322</v>
      </c>
      <c r="T12" s="16">
        <v>178</v>
      </c>
      <c r="U12" s="14"/>
      <c r="V12" s="20">
        <v>309</v>
      </c>
      <c r="W12" s="15">
        <v>384</v>
      </c>
    </row>
    <row r="13" spans="1:24" x14ac:dyDescent="0.2">
      <c r="A13" s="7"/>
      <c r="B13" s="7"/>
      <c r="C13" s="8">
        <v>1007</v>
      </c>
      <c r="D13" s="9">
        <v>1006.25</v>
      </c>
      <c r="E13" s="9">
        <v>9.4700000000000006</v>
      </c>
      <c r="F13" s="9">
        <v>10.49</v>
      </c>
      <c r="G13" s="9">
        <v>10.95</v>
      </c>
      <c r="H13" s="8">
        <v>16</v>
      </c>
      <c r="I13" s="8">
        <v>2</v>
      </c>
      <c r="J13" s="9">
        <v>6.1835616438356196</v>
      </c>
      <c r="K13" s="9">
        <v>28.05</v>
      </c>
      <c r="L13" s="8">
        <v>2</v>
      </c>
      <c r="M13" s="8" t="s">
        <v>42</v>
      </c>
      <c r="N13" s="8" t="s">
        <v>32</v>
      </c>
      <c r="O13" s="8" t="s">
        <v>43</v>
      </c>
      <c r="P13" s="8" t="s">
        <v>34</v>
      </c>
      <c r="R13" s="14">
        <v>13</v>
      </c>
      <c r="S13" s="8">
        <v>310</v>
      </c>
      <c r="T13" s="15">
        <v>159</v>
      </c>
      <c r="U13" s="10"/>
      <c r="V13" s="11">
        <v>380</v>
      </c>
      <c r="W13" s="16">
        <v>364</v>
      </c>
    </row>
    <row r="14" spans="1:24" x14ac:dyDescent="0.2">
      <c r="A14" s="7"/>
      <c r="B14" s="7"/>
      <c r="C14" s="8">
        <v>1018</v>
      </c>
      <c r="D14" s="9">
        <v>550</v>
      </c>
      <c r="E14" s="9">
        <v>9.6199999999999992</v>
      </c>
      <c r="F14" s="9">
        <v>6.34</v>
      </c>
      <c r="G14" s="9">
        <v>14.92</v>
      </c>
      <c r="H14" s="8">
        <v>17</v>
      </c>
      <c r="I14" s="8">
        <v>2</v>
      </c>
      <c r="J14" s="9">
        <v>6.1863013698630098</v>
      </c>
      <c r="K14" s="9">
        <v>36.549999999999997</v>
      </c>
      <c r="L14" s="8">
        <v>2</v>
      </c>
      <c r="M14" s="8" t="s">
        <v>42</v>
      </c>
      <c r="N14" s="8" t="s">
        <v>32</v>
      </c>
      <c r="O14" s="8" t="s">
        <v>43</v>
      </c>
      <c r="P14" s="8" t="s">
        <v>34</v>
      </c>
      <c r="R14" s="14"/>
      <c r="S14" s="8">
        <v>313</v>
      </c>
      <c r="T14" s="15">
        <v>167</v>
      </c>
      <c r="U14" s="14">
        <v>28</v>
      </c>
      <c r="V14" s="8">
        <v>106</v>
      </c>
      <c r="W14" s="15">
        <v>189</v>
      </c>
    </row>
    <row r="15" spans="1:24" x14ac:dyDescent="0.2">
      <c r="A15" s="7"/>
      <c r="B15" s="7"/>
      <c r="C15" s="8">
        <v>2003</v>
      </c>
      <c r="D15" s="9">
        <v>356.25</v>
      </c>
      <c r="E15" s="9">
        <v>1.96</v>
      </c>
      <c r="F15" s="9">
        <v>7.29</v>
      </c>
      <c r="G15" s="9">
        <v>8.3800000000000008</v>
      </c>
      <c r="H15" s="8">
        <v>18</v>
      </c>
      <c r="I15" s="8">
        <v>2</v>
      </c>
      <c r="J15" s="9">
        <v>6.2301369863013702</v>
      </c>
      <c r="K15" s="9">
        <v>54.47</v>
      </c>
      <c r="L15" s="8">
        <v>2</v>
      </c>
      <c r="M15" s="8" t="s">
        <v>42</v>
      </c>
      <c r="N15" s="8" t="s">
        <v>32</v>
      </c>
      <c r="O15" s="8" t="s">
        <v>43</v>
      </c>
      <c r="P15" s="8" t="s">
        <v>34</v>
      </c>
      <c r="R15" s="14"/>
      <c r="S15" s="8">
        <v>314</v>
      </c>
      <c r="T15" s="15">
        <v>163</v>
      </c>
      <c r="U15" s="14"/>
      <c r="V15" s="8">
        <v>113</v>
      </c>
      <c r="W15" s="15">
        <v>165</v>
      </c>
    </row>
    <row r="16" spans="1:24" x14ac:dyDescent="0.2">
      <c r="A16" s="7"/>
      <c r="B16" s="7"/>
      <c r="C16" s="8">
        <v>2007</v>
      </c>
      <c r="D16" s="9">
        <v>606.25</v>
      </c>
      <c r="E16" s="9">
        <v>5.39</v>
      </c>
      <c r="F16" s="9">
        <v>9.41</v>
      </c>
      <c r="G16" s="9">
        <v>10.64</v>
      </c>
      <c r="H16" s="8">
        <v>19</v>
      </c>
      <c r="I16" s="8">
        <v>2</v>
      </c>
      <c r="J16" s="9">
        <v>6.1780821917808204</v>
      </c>
      <c r="K16" s="9">
        <v>46.87</v>
      </c>
      <c r="L16" s="8">
        <v>2</v>
      </c>
      <c r="M16" s="8" t="s">
        <v>42</v>
      </c>
      <c r="N16" s="8" t="s">
        <v>32</v>
      </c>
      <c r="O16" s="8" t="s">
        <v>43</v>
      </c>
      <c r="P16" s="8" t="s">
        <v>34</v>
      </c>
      <c r="R16" s="10"/>
      <c r="S16" s="11">
        <v>315</v>
      </c>
      <c r="T16" s="16">
        <v>174</v>
      </c>
      <c r="U16" s="14"/>
      <c r="V16" s="20">
        <v>138</v>
      </c>
      <c r="W16" s="15">
        <v>171</v>
      </c>
    </row>
    <row r="17" spans="1:23" x14ac:dyDescent="0.2">
      <c r="A17" s="7"/>
      <c r="B17" s="7"/>
      <c r="C17" s="8">
        <v>2012</v>
      </c>
      <c r="D17" s="9">
        <v>225</v>
      </c>
      <c r="E17" s="9">
        <v>0.79</v>
      </c>
      <c r="F17" s="9">
        <v>6.31</v>
      </c>
      <c r="G17" s="9">
        <v>6.67</v>
      </c>
      <c r="H17" s="8">
        <v>26</v>
      </c>
      <c r="I17" s="8">
        <v>1</v>
      </c>
      <c r="J17" s="9">
        <v>3.3506849315068501</v>
      </c>
      <c r="K17" s="9">
        <v>27.87</v>
      </c>
      <c r="L17" s="8">
        <v>1</v>
      </c>
      <c r="M17" s="8" t="s">
        <v>31</v>
      </c>
      <c r="N17" s="8" t="s">
        <v>40</v>
      </c>
      <c r="O17" s="8" t="s">
        <v>33</v>
      </c>
      <c r="P17" s="8" t="s">
        <v>34</v>
      </c>
      <c r="R17" s="14">
        <v>15</v>
      </c>
      <c r="S17" s="8">
        <v>320</v>
      </c>
      <c r="T17" s="15">
        <v>342</v>
      </c>
      <c r="U17" s="14"/>
      <c r="V17" s="8">
        <v>145</v>
      </c>
      <c r="W17" s="15">
        <v>159</v>
      </c>
    </row>
    <row r="18" spans="1:23" x14ac:dyDescent="0.2">
      <c r="A18" s="7"/>
      <c r="B18" s="7"/>
      <c r="C18" s="8">
        <v>2017</v>
      </c>
      <c r="D18" s="9">
        <v>343.75</v>
      </c>
      <c r="E18" s="9">
        <v>5.34</v>
      </c>
      <c r="F18" s="9">
        <v>13.62</v>
      </c>
      <c r="G18" s="9">
        <v>14.07</v>
      </c>
      <c r="H18" s="8">
        <v>27</v>
      </c>
      <c r="I18" s="8">
        <v>2</v>
      </c>
      <c r="J18" s="9">
        <v>5.8520547945205497</v>
      </c>
      <c r="K18" s="9">
        <v>55.48</v>
      </c>
      <c r="L18" s="8">
        <v>2</v>
      </c>
      <c r="M18" s="8" t="s">
        <v>44</v>
      </c>
      <c r="N18" s="8" t="s">
        <v>32</v>
      </c>
      <c r="O18" s="8" t="s">
        <v>43</v>
      </c>
      <c r="P18" s="8" t="s">
        <v>45</v>
      </c>
      <c r="R18" s="14"/>
      <c r="S18" s="8">
        <v>325</v>
      </c>
      <c r="T18" s="15">
        <v>322</v>
      </c>
      <c r="U18" s="14"/>
      <c r="V18" s="8">
        <v>209</v>
      </c>
      <c r="W18" s="15">
        <v>168</v>
      </c>
    </row>
    <row r="19" spans="1:23" x14ac:dyDescent="0.2">
      <c r="A19" s="7"/>
      <c r="B19" s="7"/>
      <c r="C19" s="8">
        <v>2020</v>
      </c>
      <c r="D19" s="9">
        <v>387.5</v>
      </c>
      <c r="E19" s="9">
        <v>2.72</v>
      </c>
      <c r="F19" s="9">
        <v>9.4</v>
      </c>
      <c r="G19" s="9">
        <v>9.4600000000000009</v>
      </c>
      <c r="H19" s="8">
        <v>28</v>
      </c>
      <c r="I19" s="8">
        <v>1</v>
      </c>
      <c r="J19" s="9">
        <v>3.1452054794520499</v>
      </c>
      <c r="K19" s="9">
        <v>51.42</v>
      </c>
      <c r="L19" s="8">
        <v>1</v>
      </c>
      <c r="M19" s="8" t="s">
        <v>31</v>
      </c>
      <c r="N19" s="8" t="s">
        <v>40</v>
      </c>
      <c r="O19" s="8" t="s">
        <v>33</v>
      </c>
      <c r="P19" s="8" t="s">
        <v>34</v>
      </c>
      <c r="R19" s="10"/>
      <c r="S19" s="11">
        <v>327</v>
      </c>
      <c r="T19" s="16">
        <v>341</v>
      </c>
      <c r="U19" s="10"/>
      <c r="V19" s="11">
        <v>311</v>
      </c>
      <c r="W19" s="16">
        <v>142</v>
      </c>
    </row>
    <row r="20" spans="1:23" x14ac:dyDescent="0.2">
      <c r="A20" s="7"/>
      <c r="B20" s="7"/>
      <c r="C20" s="8">
        <v>3009</v>
      </c>
      <c r="D20" s="9">
        <v>281.25</v>
      </c>
      <c r="E20" s="9">
        <v>1.48</v>
      </c>
      <c r="F20" s="9">
        <v>7.94</v>
      </c>
      <c r="G20" s="9">
        <v>8.19</v>
      </c>
      <c r="H20" s="8">
        <v>29</v>
      </c>
      <c r="I20" s="8">
        <v>1</v>
      </c>
      <c r="J20" s="9">
        <v>3.1068493150684899</v>
      </c>
      <c r="K20" s="9">
        <v>80.09</v>
      </c>
      <c r="L20" s="8">
        <v>1</v>
      </c>
      <c r="M20" s="8" t="s">
        <v>31</v>
      </c>
      <c r="N20" s="8" t="s">
        <v>40</v>
      </c>
      <c r="O20" s="8" t="s">
        <v>33</v>
      </c>
      <c r="P20" s="8" t="s">
        <v>34</v>
      </c>
      <c r="R20" s="14">
        <v>16</v>
      </c>
      <c r="S20" s="8">
        <v>329</v>
      </c>
      <c r="T20" s="15">
        <v>325</v>
      </c>
      <c r="U20" s="14">
        <v>29</v>
      </c>
      <c r="V20" s="8">
        <v>112</v>
      </c>
      <c r="W20" s="15">
        <v>173</v>
      </c>
    </row>
    <row r="21" spans="1:23" x14ac:dyDescent="0.2">
      <c r="A21" s="13"/>
      <c r="B21" s="13"/>
      <c r="C21" s="11">
        <v>3042</v>
      </c>
      <c r="D21" s="17">
        <v>218.75</v>
      </c>
      <c r="E21" s="17">
        <v>0.98</v>
      </c>
      <c r="F21" s="17">
        <v>7.25</v>
      </c>
      <c r="G21" s="17">
        <v>7.54</v>
      </c>
      <c r="H21" s="8">
        <v>30</v>
      </c>
      <c r="I21" s="8">
        <v>1</v>
      </c>
      <c r="J21" s="9">
        <v>2.7616438356164399</v>
      </c>
      <c r="K21" s="9">
        <v>44.7</v>
      </c>
      <c r="L21" s="8">
        <v>1</v>
      </c>
      <c r="M21" s="8" t="s">
        <v>46</v>
      </c>
      <c r="N21" s="8" t="s">
        <v>32</v>
      </c>
      <c r="O21" s="8" t="s">
        <v>33</v>
      </c>
      <c r="P21" s="8" t="s">
        <v>34</v>
      </c>
      <c r="R21" s="14"/>
      <c r="S21" s="8">
        <v>333</v>
      </c>
      <c r="T21" s="15">
        <v>320</v>
      </c>
      <c r="U21" s="14"/>
      <c r="V21" s="8">
        <v>115</v>
      </c>
      <c r="W21" s="15">
        <v>171</v>
      </c>
    </row>
    <row r="22" spans="1:23" ht="12.75" customHeight="1" x14ac:dyDescent="0.2">
      <c r="A22" s="7" t="s">
        <v>47</v>
      </c>
      <c r="B22" s="7">
        <v>559.93600000000004</v>
      </c>
      <c r="C22" s="8">
        <v>1002</v>
      </c>
      <c r="D22" s="9">
        <v>181.25</v>
      </c>
      <c r="E22" s="9">
        <v>0.74</v>
      </c>
      <c r="F22" s="9">
        <v>6.8</v>
      </c>
      <c r="G22" s="9">
        <v>7.19</v>
      </c>
      <c r="H22" s="8">
        <v>31</v>
      </c>
      <c r="I22" s="8">
        <v>1</v>
      </c>
      <c r="J22" s="9">
        <v>2.7561643835616398</v>
      </c>
      <c r="K22" s="9">
        <v>26.34</v>
      </c>
      <c r="L22" s="8">
        <v>1</v>
      </c>
      <c r="M22" s="8" t="s">
        <v>46</v>
      </c>
      <c r="N22" s="8" t="s">
        <v>32</v>
      </c>
      <c r="O22" s="8" t="s">
        <v>33</v>
      </c>
      <c r="P22" s="8" t="s">
        <v>34</v>
      </c>
      <c r="R22" s="14"/>
      <c r="S22" s="8">
        <v>336</v>
      </c>
      <c r="T22" s="15">
        <v>306</v>
      </c>
      <c r="U22" s="14"/>
      <c r="V22" s="8">
        <v>118</v>
      </c>
      <c r="W22" s="15">
        <v>176</v>
      </c>
    </row>
    <row r="23" spans="1:23" x14ac:dyDescent="0.2">
      <c r="A23" s="7"/>
      <c r="B23" s="7"/>
      <c r="C23" s="8">
        <v>1026</v>
      </c>
      <c r="D23" s="9">
        <v>200</v>
      </c>
      <c r="E23" s="9">
        <v>1.18</v>
      </c>
      <c r="F23" s="9">
        <v>5.72</v>
      </c>
      <c r="G23" s="9">
        <v>8.67</v>
      </c>
      <c r="H23" s="11">
        <v>32</v>
      </c>
      <c r="I23" s="11">
        <v>1</v>
      </c>
      <c r="J23" s="17">
        <v>2.8054794520547901</v>
      </c>
      <c r="K23" s="17">
        <v>11.03</v>
      </c>
      <c r="L23" s="11">
        <v>1</v>
      </c>
      <c r="M23" s="11" t="s">
        <v>46</v>
      </c>
      <c r="N23" s="11" t="s">
        <v>32</v>
      </c>
      <c r="O23" s="11" t="s">
        <v>33</v>
      </c>
      <c r="P23" s="11" t="s">
        <v>34</v>
      </c>
      <c r="R23" s="10"/>
      <c r="S23" s="11">
        <v>337</v>
      </c>
      <c r="T23" s="16">
        <v>324</v>
      </c>
      <c r="U23" s="14"/>
      <c r="V23" s="20">
        <v>121</v>
      </c>
      <c r="W23" s="15">
        <v>178</v>
      </c>
    </row>
    <row r="24" spans="1:23" x14ac:dyDescent="0.2">
      <c r="A24" s="7"/>
      <c r="B24" s="7"/>
      <c r="C24" s="8">
        <v>1028</v>
      </c>
      <c r="D24" s="9">
        <v>137.5</v>
      </c>
      <c r="E24" s="9">
        <v>0.76</v>
      </c>
      <c r="F24" s="9">
        <v>8.02</v>
      </c>
      <c r="G24" s="9">
        <v>8.41</v>
      </c>
      <c r="R24" s="14">
        <v>17</v>
      </c>
      <c r="S24" s="8">
        <v>331</v>
      </c>
      <c r="T24" s="15">
        <v>317</v>
      </c>
      <c r="U24" s="14"/>
      <c r="V24" s="8">
        <v>123</v>
      </c>
      <c r="W24" s="15">
        <v>187</v>
      </c>
    </row>
    <row r="25" spans="1:23" x14ac:dyDescent="0.2">
      <c r="A25" s="7"/>
      <c r="B25" s="7"/>
      <c r="C25" s="8">
        <v>2013</v>
      </c>
      <c r="D25" s="9">
        <v>168.75</v>
      </c>
      <c r="E25" s="9">
        <v>0.55000000000000004</v>
      </c>
      <c r="F25" s="9">
        <v>6.27</v>
      </c>
      <c r="G25" s="9">
        <v>6.42</v>
      </c>
      <c r="M25" s="7"/>
      <c r="N25" s="7"/>
      <c r="O25" s="18"/>
      <c r="R25" s="14"/>
      <c r="S25" s="8">
        <v>332</v>
      </c>
      <c r="T25" s="15">
        <v>342</v>
      </c>
      <c r="U25" s="14"/>
      <c r="V25" s="8">
        <v>125</v>
      </c>
      <c r="W25" s="15">
        <v>185</v>
      </c>
    </row>
    <row r="26" spans="1:23" x14ac:dyDescent="0.2">
      <c r="A26" s="7"/>
      <c r="B26" s="7"/>
      <c r="C26" s="8">
        <v>3004</v>
      </c>
      <c r="D26" s="9">
        <v>131.25</v>
      </c>
      <c r="E26" s="9">
        <v>0.52</v>
      </c>
      <c r="F26" s="9">
        <v>6.56</v>
      </c>
      <c r="G26" s="9">
        <v>7.1</v>
      </c>
      <c r="R26" s="14"/>
      <c r="S26" s="8">
        <v>334</v>
      </c>
      <c r="T26" s="15">
        <v>313</v>
      </c>
      <c r="U26" s="14"/>
      <c r="V26" s="20">
        <v>231</v>
      </c>
      <c r="W26" s="15">
        <v>185</v>
      </c>
    </row>
    <row r="27" spans="1:23" x14ac:dyDescent="0.2">
      <c r="A27" s="19"/>
      <c r="B27" s="19"/>
      <c r="C27" s="20">
        <v>4002</v>
      </c>
      <c r="D27" s="21">
        <v>200</v>
      </c>
      <c r="E27" s="21">
        <v>0.66</v>
      </c>
      <c r="F27" s="21">
        <v>6.21</v>
      </c>
      <c r="G27" s="21">
        <v>6.49</v>
      </c>
      <c r="R27" s="14"/>
      <c r="S27" s="8">
        <v>335</v>
      </c>
      <c r="T27" s="15">
        <v>369</v>
      </c>
      <c r="U27" s="14"/>
      <c r="V27" s="20">
        <v>300</v>
      </c>
      <c r="W27" s="15">
        <v>127</v>
      </c>
    </row>
    <row r="28" spans="1:23" x14ac:dyDescent="0.2">
      <c r="A28" s="22"/>
      <c r="B28" s="22"/>
      <c r="C28" s="11">
        <v>4010</v>
      </c>
      <c r="D28" s="17">
        <v>143.75</v>
      </c>
      <c r="E28" s="17">
        <v>0.96</v>
      </c>
      <c r="F28" s="17">
        <v>3.93</v>
      </c>
      <c r="G28" s="17">
        <v>9.2200000000000006</v>
      </c>
      <c r="R28" s="10"/>
      <c r="S28" s="11">
        <v>339</v>
      </c>
      <c r="T28" s="16">
        <v>300</v>
      </c>
      <c r="U28" s="14"/>
      <c r="V28" s="8">
        <v>301</v>
      </c>
      <c r="W28" s="15">
        <v>180</v>
      </c>
    </row>
    <row r="29" spans="1:23" x14ac:dyDescent="0.2">
      <c r="A29" s="7" t="s">
        <v>48</v>
      </c>
      <c r="B29" s="7">
        <v>552.92899999999997</v>
      </c>
      <c r="C29" s="8">
        <v>1025</v>
      </c>
      <c r="D29" s="9">
        <v>112.5</v>
      </c>
      <c r="E29" s="9">
        <v>0.87</v>
      </c>
      <c r="F29" s="9">
        <v>4.3</v>
      </c>
      <c r="G29" s="9">
        <v>9.91</v>
      </c>
      <c r="R29" s="14">
        <v>18</v>
      </c>
      <c r="S29" s="20">
        <v>338</v>
      </c>
      <c r="T29" s="15">
        <v>242</v>
      </c>
      <c r="U29" s="10"/>
      <c r="V29" s="11">
        <v>302</v>
      </c>
      <c r="W29" s="16">
        <v>188</v>
      </c>
    </row>
    <row r="30" spans="1:23" x14ac:dyDescent="0.2">
      <c r="C30" s="8">
        <v>1029</v>
      </c>
      <c r="D30" s="9">
        <v>125</v>
      </c>
      <c r="E30" s="9">
        <v>1.05</v>
      </c>
      <c r="F30" s="9">
        <v>3.43</v>
      </c>
      <c r="G30" s="9">
        <v>10.37</v>
      </c>
      <c r="R30" s="14"/>
      <c r="S30" s="20">
        <v>340</v>
      </c>
      <c r="T30" s="15">
        <v>349</v>
      </c>
      <c r="U30" s="14">
        <v>30</v>
      </c>
      <c r="V30" s="8">
        <v>136</v>
      </c>
      <c r="W30" s="15">
        <v>125</v>
      </c>
    </row>
    <row r="31" spans="1:23" x14ac:dyDescent="0.2">
      <c r="A31" s="7"/>
      <c r="B31" s="7"/>
      <c r="C31" s="8">
        <v>1031</v>
      </c>
      <c r="D31" s="9">
        <v>125</v>
      </c>
      <c r="E31" s="9">
        <v>1.31</v>
      </c>
      <c r="F31" s="9">
        <v>2.95</v>
      </c>
      <c r="G31" s="9">
        <v>11.57</v>
      </c>
      <c r="R31" s="14"/>
      <c r="S31" s="8">
        <v>342</v>
      </c>
      <c r="T31" s="15">
        <v>345</v>
      </c>
      <c r="U31" s="14"/>
      <c r="V31" s="20">
        <v>141</v>
      </c>
      <c r="W31" s="15">
        <v>127</v>
      </c>
    </row>
    <row r="32" spans="1:23" x14ac:dyDescent="0.2">
      <c r="A32" s="7"/>
      <c r="B32" s="7"/>
      <c r="C32" s="8">
        <v>2026</v>
      </c>
      <c r="D32" s="9">
        <v>93.75</v>
      </c>
      <c r="E32" s="9">
        <v>0.28999999999999998</v>
      </c>
      <c r="F32" s="9">
        <v>6.14</v>
      </c>
      <c r="G32" s="9">
        <v>6.28</v>
      </c>
      <c r="R32" s="14"/>
      <c r="S32" s="8">
        <v>343</v>
      </c>
      <c r="T32" s="15">
        <v>281</v>
      </c>
      <c r="U32" s="14"/>
      <c r="V32" s="8">
        <v>149</v>
      </c>
      <c r="W32" s="15">
        <v>147</v>
      </c>
    </row>
    <row r="33" spans="1:23" x14ac:dyDescent="0.2">
      <c r="A33" s="7"/>
      <c r="B33" s="7"/>
      <c r="C33" s="8">
        <v>2037</v>
      </c>
      <c r="D33" s="9">
        <v>100</v>
      </c>
      <c r="E33" s="9">
        <v>0.49</v>
      </c>
      <c r="F33" s="9">
        <v>7.27</v>
      </c>
      <c r="G33" s="9">
        <v>7.89</v>
      </c>
      <c r="R33" s="14"/>
      <c r="S33" s="20">
        <v>347</v>
      </c>
      <c r="T33" s="15">
        <v>325</v>
      </c>
      <c r="U33" s="14"/>
      <c r="V33" s="8">
        <v>151</v>
      </c>
      <c r="W33" s="15">
        <v>137</v>
      </c>
    </row>
    <row r="34" spans="1:23" x14ac:dyDescent="0.2">
      <c r="A34" s="13"/>
      <c r="B34" s="13"/>
      <c r="C34" s="11">
        <v>4011</v>
      </c>
      <c r="D34" s="17">
        <v>112.5</v>
      </c>
      <c r="E34" s="17">
        <v>0.35</v>
      </c>
      <c r="F34" s="17">
        <v>6.57</v>
      </c>
      <c r="G34" s="17">
        <v>6.26</v>
      </c>
      <c r="R34" s="10"/>
      <c r="S34" s="11">
        <v>348</v>
      </c>
      <c r="T34" s="16">
        <v>296</v>
      </c>
      <c r="U34" s="14"/>
      <c r="V34" s="20">
        <v>305</v>
      </c>
      <c r="W34" s="15">
        <v>134</v>
      </c>
    </row>
    <row r="35" spans="1:23" x14ac:dyDescent="0.2">
      <c r="A35" s="7" t="s">
        <v>49</v>
      </c>
      <c r="B35" s="7">
        <v>753.23500000000001</v>
      </c>
      <c r="C35" s="8">
        <v>1003</v>
      </c>
      <c r="D35" s="9">
        <v>87.5</v>
      </c>
      <c r="E35" s="9">
        <v>0.34</v>
      </c>
      <c r="F35" s="9">
        <v>7.55</v>
      </c>
      <c r="G35" s="9">
        <v>7.03</v>
      </c>
      <c r="R35" s="14">
        <v>19</v>
      </c>
      <c r="S35" s="8">
        <v>341</v>
      </c>
      <c r="T35" s="15">
        <v>319</v>
      </c>
      <c r="U35" s="10"/>
      <c r="V35" s="11">
        <v>306</v>
      </c>
      <c r="W35" s="16">
        <v>129</v>
      </c>
    </row>
    <row r="36" spans="1:23" x14ac:dyDescent="0.2">
      <c r="C36" s="8">
        <v>2029</v>
      </c>
      <c r="D36" s="9">
        <v>37.5</v>
      </c>
      <c r="E36" s="9">
        <v>0.11</v>
      </c>
      <c r="F36" s="9">
        <v>5.99</v>
      </c>
      <c r="G36" s="9">
        <v>6.05</v>
      </c>
      <c r="R36" s="14"/>
      <c r="S36" s="8">
        <v>344</v>
      </c>
      <c r="T36" s="15">
        <v>320</v>
      </c>
      <c r="U36" s="14">
        <v>31</v>
      </c>
      <c r="V36" s="8">
        <v>156</v>
      </c>
      <c r="W36" s="15">
        <v>127</v>
      </c>
    </row>
    <row r="37" spans="1:23" x14ac:dyDescent="0.2">
      <c r="A37" s="7"/>
      <c r="B37" s="7"/>
      <c r="C37" s="8">
        <v>2035</v>
      </c>
      <c r="D37" s="9">
        <v>50</v>
      </c>
      <c r="E37" s="9">
        <v>0.14000000000000001</v>
      </c>
      <c r="F37" s="9">
        <v>5.86</v>
      </c>
      <c r="G37" s="9">
        <v>5.91</v>
      </c>
      <c r="R37" s="14"/>
      <c r="S37" s="8">
        <v>345</v>
      </c>
      <c r="T37" s="15">
        <v>268</v>
      </c>
      <c r="U37" s="14"/>
      <c r="V37" s="8">
        <v>160</v>
      </c>
      <c r="W37" s="15">
        <v>135</v>
      </c>
    </row>
    <row r="38" spans="1:23" x14ac:dyDescent="0.2">
      <c r="A38" s="7"/>
      <c r="B38" s="7"/>
      <c r="C38" s="8">
        <v>3039</v>
      </c>
      <c r="D38" s="9">
        <v>6.25</v>
      </c>
      <c r="E38" s="9">
        <v>0.02</v>
      </c>
      <c r="F38" s="9">
        <v>5.7</v>
      </c>
      <c r="G38" s="9">
        <v>5.7</v>
      </c>
      <c r="R38" s="14"/>
      <c r="S38" s="8">
        <v>346</v>
      </c>
      <c r="T38" s="15">
        <v>254</v>
      </c>
      <c r="U38" s="14"/>
      <c r="V38" s="20">
        <v>307</v>
      </c>
      <c r="W38" s="15">
        <v>139</v>
      </c>
    </row>
    <row r="39" spans="1:23" x14ac:dyDescent="0.2">
      <c r="A39" s="7"/>
      <c r="B39" s="7"/>
      <c r="C39" s="8">
        <v>3063</v>
      </c>
      <c r="D39" s="9">
        <v>68.75</v>
      </c>
      <c r="E39" s="9">
        <v>0.24</v>
      </c>
      <c r="F39" s="9">
        <v>6.25</v>
      </c>
      <c r="G39" s="9">
        <v>6.64</v>
      </c>
      <c r="R39" s="14"/>
      <c r="S39" s="8">
        <v>349</v>
      </c>
      <c r="T39" s="15">
        <v>362</v>
      </c>
      <c r="U39" s="10"/>
      <c r="V39" s="11">
        <v>308</v>
      </c>
      <c r="W39" s="16">
        <v>127</v>
      </c>
    </row>
    <row r="40" spans="1:23" x14ac:dyDescent="0.2">
      <c r="A40" s="19"/>
      <c r="B40" s="19"/>
      <c r="C40" s="8">
        <v>4009</v>
      </c>
      <c r="D40" s="9">
        <v>56.25</v>
      </c>
      <c r="E40" s="9">
        <v>0.13</v>
      </c>
      <c r="F40" s="9">
        <v>5.47</v>
      </c>
      <c r="G40" s="9">
        <v>5.4</v>
      </c>
      <c r="R40" s="14"/>
      <c r="S40" s="8">
        <v>351</v>
      </c>
      <c r="T40" s="15">
        <v>335</v>
      </c>
      <c r="U40" s="14">
        <v>32</v>
      </c>
      <c r="V40" s="20">
        <v>163</v>
      </c>
      <c r="W40" s="15">
        <v>148</v>
      </c>
    </row>
    <row r="41" spans="1:23" x14ac:dyDescent="0.2">
      <c r="C41" s="8">
        <v>4014</v>
      </c>
      <c r="D41" s="9">
        <v>18.75</v>
      </c>
      <c r="E41" s="9">
        <v>0.04</v>
      </c>
      <c r="F41" s="9">
        <v>5.33</v>
      </c>
      <c r="G41" s="9">
        <v>5.36</v>
      </c>
      <c r="R41" s="10"/>
      <c r="S41" s="11">
        <v>352</v>
      </c>
      <c r="T41" s="16">
        <v>297</v>
      </c>
      <c r="U41" s="10"/>
      <c r="V41" s="11">
        <v>167</v>
      </c>
      <c r="W41" s="16">
        <v>139</v>
      </c>
    </row>
    <row r="42" spans="1:23" x14ac:dyDescent="0.2">
      <c r="C42" s="20">
        <v>4016</v>
      </c>
      <c r="D42" s="21">
        <v>31.25</v>
      </c>
      <c r="E42" s="21">
        <v>0.08</v>
      </c>
      <c r="F42" s="21">
        <v>5.62</v>
      </c>
      <c r="G42" s="21">
        <v>5.69</v>
      </c>
      <c r="R42" s="14">
        <v>26</v>
      </c>
      <c r="S42" s="8">
        <v>170</v>
      </c>
      <c r="T42" s="15">
        <v>167</v>
      </c>
      <c r="U42" s="23"/>
      <c r="W42" s="24"/>
    </row>
    <row r="43" spans="1:23" x14ac:dyDescent="0.2">
      <c r="C43" s="8">
        <v>4017</v>
      </c>
      <c r="D43" s="9">
        <v>37.5</v>
      </c>
      <c r="E43" s="9">
        <v>0.1</v>
      </c>
      <c r="F43" s="9">
        <v>5.61</v>
      </c>
      <c r="G43" s="9">
        <v>5.7</v>
      </c>
      <c r="R43" s="14"/>
      <c r="S43" s="8">
        <v>176</v>
      </c>
      <c r="T43" s="15">
        <v>174</v>
      </c>
      <c r="U43" s="23"/>
      <c r="W43" s="24"/>
    </row>
    <row r="44" spans="1:23" x14ac:dyDescent="0.2">
      <c r="A44" s="22"/>
      <c r="B44" s="22"/>
      <c r="C44" s="11">
        <v>4018</v>
      </c>
      <c r="D44" s="17">
        <v>18.75</v>
      </c>
      <c r="E44" s="17">
        <v>0.04</v>
      </c>
      <c r="F44" s="17">
        <v>5.36</v>
      </c>
      <c r="G44" s="17">
        <v>5.37</v>
      </c>
      <c r="R44" s="14"/>
      <c r="S44" s="8">
        <v>178</v>
      </c>
      <c r="T44" s="15">
        <v>167</v>
      </c>
      <c r="U44" s="23"/>
      <c r="W44" s="24"/>
    </row>
    <row r="45" spans="1:23" x14ac:dyDescent="0.2">
      <c r="A45" s="7" t="s">
        <v>50</v>
      </c>
      <c r="B45" s="7">
        <f>SUM(B11:B44)</f>
        <v>3200.0000000000005</v>
      </c>
      <c r="R45" s="10"/>
      <c r="S45" s="11">
        <v>181</v>
      </c>
      <c r="T45" s="16">
        <v>165</v>
      </c>
      <c r="U45" s="23"/>
      <c r="V45" s="24"/>
      <c r="W45" s="24"/>
    </row>
    <row r="46" spans="1:23" ht="23.85" customHeight="1" x14ac:dyDescent="0.2">
      <c r="A46" s="25"/>
    </row>
    <row r="47" spans="1:23" ht="12.75" customHeight="1" x14ac:dyDescent="0.2">
      <c r="A47" s="89" t="s">
        <v>51</v>
      </c>
      <c r="B47" s="89"/>
      <c r="C47" s="89"/>
      <c r="D47" s="89"/>
      <c r="E47" s="89"/>
      <c r="F47" s="89"/>
      <c r="G47" s="89"/>
    </row>
    <row r="48" spans="1:23" ht="24.6" customHeight="1" x14ac:dyDescent="0.2">
      <c r="A48" s="89" t="s">
        <v>52</v>
      </c>
      <c r="B48" s="89"/>
      <c r="C48" s="89"/>
      <c r="D48" s="89"/>
      <c r="E48" s="89"/>
      <c r="F48" s="89"/>
      <c r="G48" s="89"/>
    </row>
    <row r="49" spans="1:16" ht="24.6" customHeight="1" x14ac:dyDescent="0.2">
      <c r="A49" s="89" t="s">
        <v>53</v>
      </c>
      <c r="B49" s="89"/>
      <c r="C49" s="89"/>
      <c r="D49" s="89"/>
      <c r="E49" s="89"/>
      <c r="F49" s="89"/>
      <c r="G49" s="89"/>
    </row>
    <row r="50" spans="1:16" ht="38.25" customHeight="1" x14ac:dyDescent="0.2">
      <c r="A50" s="89" t="s">
        <v>54</v>
      </c>
      <c r="B50" s="89"/>
      <c r="C50" s="89"/>
      <c r="D50" s="89"/>
      <c r="E50" s="89"/>
      <c r="F50" s="89"/>
      <c r="G50" s="89"/>
      <c r="H50" s="110" t="s">
        <v>87</v>
      </c>
      <c r="I50" s="111"/>
      <c r="J50" s="111"/>
      <c r="K50" s="111"/>
      <c r="L50" s="111"/>
      <c r="M50" s="111"/>
      <c r="N50" s="111"/>
      <c r="O50" s="111"/>
      <c r="P50" s="112"/>
    </row>
    <row r="51" spans="1:16" ht="14.25" x14ac:dyDescent="0.2">
      <c r="A51" s="30"/>
      <c r="B51" s="92" t="s">
        <v>83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6" x14ac:dyDescent="0.2">
      <c r="A52" s="34"/>
      <c r="B52" s="55"/>
      <c r="C52" s="56" t="s">
        <v>69</v>
      </c>
      <c r="D52" s="54" t="s">
        <v>58</v>
      </c>
      <c r="E52" s="54" t="s">
        <v>56</v>
      </c>
      <c r="F52" s="54" t="s">
        <v>70</v>
      </c>
      <c r="G52" s="54" t="s">
        <v>71</v>
      </c>
      <c r="H52" s="54" t="s">
        <v>72</v>
      </c>
      <c r="I52" s="54" t="s">
        <v>73</v>
      </c>
      <c r="J52" s="54" t="s">
        <v>74</v>
      </c>
      <c r="K52" s="44" t="s">
        <v>62</v>
      </c>
      <c r="L52" s="45" t="s">
        <v>63</v>
      </c>
    </row>
    <row r="53" spans="1:16" x14ac:dyDescent="0.2">
      <c r="A53" s="32"/>
      <c r="B53" s="57" t="s">
        <v>60</v>
      </c>
      <c r="C53" s="40">
        <f>B$11</f>
        <v>1333.9</v>
      </c>
      <c r="D53" s="40">
        <f>C53/0.16</f>
        <v>8336.875</v>
      </c>
      <c r="E53" s="39">
        <f>COUNT(E11:E21)</f>
        <v>11</v>
      </c>
      <c r="F53" s="40">
        <f>D53*(D53-E53)/E53</f>
        <v>6310161.7400568184</v>
      </c>
      <c r="G53" s="41">
        <f>_xlfn.VAR.S(C11:C21)</f>
        <v>572234.05454545468</v>
      </c>
      <c r="H53" s="41">
        <f>AVERAGE(C11:C21)</f>
        <v>1831.3636363636363</v>
      </c>
      <c r="I53" s="41">
        <f>H53*D53</f>
        <v>15267849.71590909</v>
      </c>
      <c r="J53" s="42">
        <f>D53^2*G53/E53</f>
        <v>3615660081133.8032</v>
      </c>
      <c r="K53" s="42">
        <f>F53*G53</f>
        <v>3610889437350.3145</v>
      </c>
      <c r="L53" s="46">
        <f>K53^2/(E53-1)</f>
        <v>1.3038522528768069E+24</v>
      </c>
    </row>
    <row r="54" spans="1:16" x14ac:dyDescent="0.2">
      <c r="A54" s="31"/>
      <c r="B54" s="57" t="s">
        <v>61</v>
      </c>
      <c r="C54" s="47">
        <f>B$22</f>
        <v>559.93600000000004</v>
      </c>
      <c r="D54" s="40">
        <f t="shared" ref="D54:D56" si="0">C54/0.16</f>
        <v>3499.6000000000004</v>
      </c>
      <c r="E54" s="39">
        <f>COUNT(E22:E28)</f>
        <v>7</v>
      </c>
      <c r="F54" s="40">
        <f>D54*(D54-E54)/E54</f>
        <v>1746100.4228571432</v>
      </c>
      <c r="G54" s="41">
        <f>_xlfn.VAR.S(C22:C28)</f>
        <v>1887453.4761904764</v>
      </c>
      <c r="H54" s="41">
        <f>AVERAGE(C22:C28)</f>
        <v>2297.8571428571427</v>
      </c>
      <c r="I54" s="41">
        <f>H54*D54</f>
        <v>8041580.8571428573</v>
      </c>
      <c r="J54" s="42">
        <f>D54^2*G54/E54</f>
        <v>3302288645084.6519</v>
      </c>
      <c r="K54" s="42">
        <f t="shared" ref="K54:K56" si="1">F54*G54</f>
        <v>3295683312899.376</v>
      </c>
      <c r="L54" s="46">
        <f t="shared" ref="L54:L56" si="2">K54^2/(E54-1)</f>
        <v>1.8102547498205676E+24</v>
      </c>
    </row>
    <row r="55" spans="1:16" x14ac:dyDescent="0.2">
      <c r="A55" s="31"/>
      <c r="B55" s="57" t="s">
        <v>65</v>
      </c>
      <c r="C55" s="47">
        <f>B$29</f>
        <v>552.92899999999997</v>
      </c>
      <c r="D55" s="40">
        <f t="shared" si="0"/>
        <v>3455.8062499999996</v>
      </c>
      <c r="E55" s="39">
        <f>COUNT(E29:E34)</f>
        <v>6</v>
      </c>
      <c r="F55" s="40">
        <f>D55*(D55-E55)/E55</f>
        <v>1986977.0000065099</v>
      </c>
      <c r="G55" s="41">
        <f>_xlfn.VAR.S(C29:C34)</f>
        <v>1352142.5666666664</v>
      </c>
      <c r="H55" s="41">
        <f>AVERAGE(C29:C34)</f>
        <v>1859.8333333333333</v>
      </c>
      <c r="I55" s="41">
        <f>H55*D55</f>
        <v>6427223.6572916657</v>
      </c>
      <c r="J55" s="42">
        <f>D55^2*G55/E55</f>
        <v>2691348923429.2129</v>
      </c>
      <c r="K55" s="42">
        <f t="shared" si="1"/>
        <v>2686676180696.4351</v>
      </c>
      <c r="L55" s="46">
        <f t="shared" si="2"/>
        <v>1.4436457799843167E+24</v>
      </c>
    </row>
    <row r="56" spans="1:16" x14ac:dyDescent="0.2">
      <c r="A56" s="31"/>
      <c r="B56" s="57" t="s">
        <v>75</v>
      </c>
      <c r="C56" s="47">
        <f>B$35</f>
        <v>753.23500000000001</v>
      </c>
      <c r="D56" s="40">
        <f t="shared" si="0"/>
        <v>4707.71875</v>
      </c>
      <c r="E56" s="39">
        <f>COUNT(E35:E44)</f>
        <v>10</v>
      </c>
      <c r="F56" s="40">
        <f>D56*(D56-E56)/E56</f>
        <v>2211553.8641601563</v>
      </c>
      <c r="G56" s="41">
        <f>_xlfn.VAR.S(C35:C44)</f>
        <v>1206911.7888888882</v>
      </c>
      <c r="H56" s="41">
        <f>AVERAGE(C35:C44)</f>
        <v>3124.3</v>
      </c>
      <c r="I56" s="41">
        <f>H56*D56</f>
        <v>14708325.690625001</v>
      </c>
      <c r="J56" s="42">
        <f>D56^2*G56/E56</f>
        <v>2674832231675.8154</v>
      </c>
      <c r="K56" s="42">
        <f t="shared" si="1"/>
        <v>2669150430417.6675</v>
      </c>
      <c r="L56" s="46">
        <f t="shared" si="2"/>
        <v>7.9159600224431333E+23</v>
      </c>
    </row>
    <row r="57" spans="1:16" x14ac:dyDescent="0.2">
      <c r="A57" s="31"/>
      <c r="B57" s="57"/>
      <c r="C57" s="48"/>
      <c r="D57" s="48"/>
      <c r="E57" s="48"/>
      <c r="F57" s="48"/>
      <c r="G57" s="48"/>
      <c r="H57" s="48"/>
      <c r="I57" s="48"/>
      <c r="J57" s="48"/>
      <c r="K57" s="48"/>
      <c r="L57" s="61"/>
    </row>
    <row r="58" spans="1:16" x14ac:dyDescent="0.2">
      <c r="A58" s="31"/>
      <c r="B58" s="57" t="s">
        <v>66</v>
      </c>
      <c r="C58" s="48"/>
      <c r="D58" s="47">
        <f>SUM(D53:D56)</f>
        <v>20000</v>
      </c>
      <c r="E58" s="47"/>
      <c r="F58" s="47"/>
      <c r="G58" s="47"/>
      <c r="H58" s="63">
        <f>I58/D58</f>
        <v>2222.2489960484309</v>
      </c>
      <c r="I58" s="64">
        <f t="shared" ref="I58:L58" si="3">SUM(I53:I56)</f>
        <v>44444979.920968615</v>
      </c>
      <c r="J58" s="65">
        <f t="shared" si="3"/>
        <v>12284129881323.484</v>
      </c>
      <c r="K58" s="65">
        <f t="shared" si="3"/>
        <v>12262399361363.793</v>
      </c>
      <c r="L58" s="66">
        <f t="shared" si="3"/>
        <v>5.3493487849260043E+24</v>
      </c>
    </row>
    <row r="59" spans="1:16" x14ac:dyDescent="0.2">
      <c r="A59" s="31"/>
      <c r="B59" s="57"/>
      <c r="C59" s="48"/>
      <c r="D59" s="48"/>
      <c r="E59" s="48"/>
      <c r="F59" s="48"/>
      <c r="G59" s="51" t="s">
        <v>76</v>
      </c>
      <c r="H59" s="58">
        <f>J58/D58^2</f>
        <v>30710.32470330871</v>
      </c>
      <c r="I59" s="48"/>
      <c r="J59" s="48"/>
      <c r="K59" s="48"/>
      <c r="L59" s="61"/>
    </row>
    <row r="60" spans="1:16" x14ac:dyDescent="0.2">
      <c r="A60" s="31"/>
      <c r="B60" s="57"/>
      <c r="C60" s="48"/>
      <c r="D60" s="48"/>
      <c r="E60" s="48"/>
      <c r="F60" s="48"/>
      <c r="G60" s="51" t="s">
        <v>64</v>
      </c>
      <c r="H60" s="40">
        <f>_xlfn.FLOOR.MATH(K58^2/L58)</f>
        <v>28</v>
      </c>
      <c r="I60" s="48"/>
      <c r="J60" s="48"/>
      <c r="K60" s="48"/>
      <c r="L60" s="61"/>
    </row>
    <row r="61" spans="1:16" x14ac:dyDescent="0.2">
      <c r="A61" s="31"/>
      <c r="B61" s="57"/>
      <c r="C61" s="48"/>
      <c r="D61" s="48"/>
      <c r="E61" s="48"/>
      <c r="F61" s="48"/>
      <c r="G61" s="51" t="s">
        <v>57</v>
      </c>
      <c r="H61" s="41">
        <f>_xlfn.T.INV(0.975,(H60-1))</f>
        <v>2.0518305164802841</v>
      </c>
      <c r="I61" s="48"/>
      <c r="J61" s="48"/>
      <c r="K61" s="48"/>
      <c r="L61" s="61"/>
    </row>
    <row r="62" spans="1:16" x14ac:dyDescent="0.2">
      <c r="A62" s="31"/>
      <c r="B62" s="57"/>
      <c r="C62" s="48"/>
      <c r="D62" s="48"/>
      <c r="E62" s="48"/>
      <c r="F62" s="48"/>
      <c r="G62" s="51" t="s">
        <v>77</v>
      </c>
      <c r="H62" s="49">
        <f>H61*SQRT(H59)</f>
        <v>359.57019769025254</v>
      </c>
      <c r="I62" s="48"/>
      <c r="J62" s="48"/>
      <c r="K62" s="48"/>
      <c r="L62" s="61"/>
    </row>
    <row r="63" spans="1:16" x14ac:dyDescent="0.2">
      <c r="A63" s="31"/>
      <c r="B63" s="57"/>
      <c r="C63" s="48"/>
      <c r="D63" s="48"/>
      <c r="E63" s="48"/>
      <c r="F63" s="48"/>
      <c r="G63" s="51" t="s">
        <v>78</v>
      </c>
      <c r="H63" s="41">
        <f>H62/H58*100</f>
        <v>16.180463950242963</v>
      </c>
      <c r="I63" s="48"/>
      <c r="J63" s="48"/>
      <c r="K63" s="48"/>
      <c r="L63" s="61"/>
    </row>
    <row r="64" spans="1:16" x14ac:dyDescent="0.2">
      <c r="A64" s="31"/>
      <c r="B64" s="57"/>
      <c r="C64" s="48"/>
      <c r="D64" s="48"/>
      <c r="E64" s="48"/>
      <c r="F64" s="48"/>
      <c r="G64" s="48"/>
      <c r="H64" s="48"/>
      <c r="I64" s="48"/>
      <c r="J64" s="48"/>
      <c r="K64" s="48"/>
      <c r="L64" s="61"/>
    </row>
    <row r="65" spans="1:22" x14ac:dyDescent="0.2">
      <c r="A65" s="31"/>
      <c r="B65" s="59"/>
      <c r="C65" s="48"/>
      <c r="D65" s="39" t="s">
        <v>58</v>
      </c>
      <c r="E65" s="39" t="s">
        <v>79</v>
      </c>
      <c r="F65" s="39" t="s">
        <v>55</v>
      </c>
      <c r="G65" s="39" t="s">
        <v>67</v>
      </c>
      <c r="H65" s="39" t="s">
        <v>68</v>
      </c>
      <c r="I65" s="48"/>
      <c r="J65" s="48"/>
      <c r="K65" s="48"/>
      <c r="L65" s="61"/>
    </row>
    <row r="66" spans="1:22" x14ac:dyDescent="0.2">
      <c r="A66" s="31"/>
      <c r="B66" s="59"/>
      <c r="C66" s="48" t="s">
        <v>60</v>
      </c>
      <c r="D66" s="40">
        <f>D53</f>
        <v>8336.875</v>
      </c>
      <c r="E66" s="41">
        <f>D53/D$58</f>
        <v>0.41684375000000001</v>
      </c>
      <c r="F66" s="41">
        <f>SQRT(G53)/H53*100</f>
        <v>41.305916552204799</v>
      </c>
      <c r="G66" s="42">
        <f>D66^2*F66^2/E66</f>
        <v>284483978030.52484</v>
      </c>
      <c r="H66" s="42">
        <f>D66*F66^2</f>
        <v>14224198.901526242</v>
      </c>
      <c r="I66" s="48"/>
      <c r="J66" s="48"/>
      <c r="K66" s="48"/>
      <c r="L66" s="61"/>
    </row>
    <row r="67" spans="1:22" x14ac:dyDescent="0.2">
      <c r="A67" s="31"/>
      <c r="B67" s="59"/>
      <c r="C67" s="48" t="s">
        <v>61</v>
      </c>
      <c r="D67" s="40">
        <f>D54</f>
        <v>3499.6000000000004</v>
      </c>
      <c r="E67" s="41">
        <f>D54/D$58</f>
        <v>0.17498000000000002</v>
      </c>
      <c r="F67" s="41">
        <f>SQRT(G54)/H54*100</f>
        <v>59.78814822417354</v>
      </c>
      <c r="G67" s="42">
        <f>D67^2*F67^2/E67</f>
        <v>250194989783.95758</v>
      </c>
      <c r="H67" s="42">
        <f>D67*F67^2</f>
        <v>12509749.48919788</v>
      </c>
      <c r="I67" s="48"/>
      <c r="J67" s="48"/>
      <c r="K67" s="48"/>
      <c r="L67" s="61"/>
    </row>
    <row r="68" spans="1:22" x14ac:dyDescent="0.2">
      <c r="A68" s="31"/>
      <c r="B68" s="59"/>
      <c r="C68" s="48" t="s">
        <v>65</v>
      </c>
      <c r="D68" s="40">
        <f>D55</f>
        <v>3455.8062499999996</v>
      </c>
      <c r="E68" s="41">
        <f>D55/D$58</f>
        <v>0.17279031249999999</v>
      </c>
      <c r="F68" s="41">
        <f>SQRT(G55)/H55*100</f>
        <v>62.5226266984969</v>
      </c>
      <c r="G68" s="42">
        <f>D68^2*F68^2/E68</f>
        <v>270180382381.66476</v>
      </c>
      <c r="H68" s="42">
        <f>D68*F68^2</f>
        <v>13509019.119083239</v>
      </c>
      <c r="I68" s="48"/>
      <c r="J68" s="48"/>
      <c r="K68" s="48"/>
      <c r="L68" s="61"/>
    </row>
    <row r="69" spans="1:22" x14ac:dyDescent="0.2">
      <c r="A69" s="31"/>
      <c r="B69" s="59"/>
      <c r="C69" s="48" t="s">
        <v>75</v>
      </c>
      <c r="D69" s="40">
        <f>D56</f>
        <v>4707.71875</v>
      </c>
      <c r="E69" s="41">
        <f>D56/D$58</f>
        <v>0.2353859375</v>
      </c>
      <c r="F69" s="41">
        <f>SQRT(G56)/H56*100</f>
        <v>35.162928363675427</v>
      </c>
      <c r="G69" s="42">
        <f>D69^2*F69^2/E69</f>
        <v>116415438041.85811</v>
      </c>
      <c r="H69" s="42">
        <f>D69*F69^2</f>
        <v>5820771.9020929057</v>
      </c>
      <c r="I69" s="48"/>
      <c r="J69" s="48"/>
      <c r="K69" s="48"/>
      <c r="L69" s="61"/>
    </row>
    <row r="70" spans="1:22" x14ac:dyDescent="0.2">
      <c r="A70" s="31"/>
      <c r="B70" s="57"/>
      <c r="C70" s="48"/>
      <c r="D70" s="48"/>
      <c r="E70" s="48"/>
      <c r="F70" s="48"/>
      <c r="G70" s="48"/>
      <c r="H70" s="48"/>
      <c r="I70" s="48"/>
      <c r="J70" s="48"/>
      <c r="K70" s="48"/>
      <c r="L70" s="61"/>
    </row>
    <row r="71" spans="1:22" x14ac:dyDescent="0.2">
      <c r="A71" s="32"/>
      <c r="B71" s="59"/>
      <c r="C71" s="48"/>
      <c r="D71" s="48"/>
      <c r="E71" s="48"/>
      <c r="F71" s="43"/>
      <c r="G71" s="48"/>
      <c r="H71" s="48"/>
      <c r="I71" s="39" t="s">
        <v>59</v>
      </c>
      <c r="J71" s="39" t="s">
        <v>59</v>
      </c>
      <c r="K71" s="39" t="s">
        <v>59</v>
      </c>
      <c r="L71" s="71" t="s">
        <v>80</v>
      </c>
    </row>
    <row r="72" spans="1:22" ht="14.25" x14ac:dyDescent="0.2">
      <c r="A72" s="32"/>
      <c r="B72" s="50"/>
      <c r="C72" s="51" t="s">
        <v>66</v>
      </c>
      <c r="D72" s="47">
        <f>SUM(D66:D69)</f>
        <v>20000</v>
      </c>
      <c r="E72" s="47">
        <f>SUM(E66:E69)</f>
        <v>1</v>
      </c>
      <c r="F72" s="43"/>
      <c r="G72" s="52">
        <f>SUM(G66:G69)</f>
        <v>921274788238.00537</v>
      </c>
      <c r="H72" s="52">
        <f>SUM(H66:H69)</f>
        <v>46063739.411900267</v>
      </c>
      <c r="I72" s="67">
        <f>(G72/((D72^2*L72^2/I73^2)+H72))</f>
        <v>96.496530257892914</v>
      </c>
      <c r="J72" s="67">
        <f>(G72/((D72^2*L72^2/J73^2)+H72))</f>
        <v>90.36356936889392</v>
      </c>
      <c r="K72" s="73">
        <f>(G72/((D72^2*L72^2/K73^2)+H72))</f>
        <v>90.520206286552721</v>
      </c>
      <c r="L72" s="85">
        <v>10</v>
      </c>
      <c r="S72" s="26"/>
      <c r="T72" s="27"/>
      <c r="U72" s="27"/>
      <c r="V72" s="27">
        <f>V76*E92</f>
        <v>0</v>
      </c>
    </row>
    <row r="73" spans="1:22" x14ac:dyDescent="0.2">
      <c r="A73" s="32"/>
      <c r="B73" s="59"/>
      <c r="C73" s="48"/>
      <c r="D73" s="48"/>
      <c r="E73" s="48"/>
      <c r="F73" s="43"/>
      <c r="G73" s="48"/>
      <c r="H73" s="48" t="s">
        <v>57</v>
      </c>
      <c r="I73" s="68">
        <f>_xlfn.T.INV(0.975,(H60-1))</f>
        <v>2.0518305164802841</v>
      </c>
      <c r="J73" s="68">
        <f>_xlfn.T.INV(0.975,(I72-1))</f>
        <v>1.9852510035054973</v>
      </c>
      <c r="K73" s="68">
        <f t="shared" ref="K73:K75" si="4">_xlfn.T.INV(0.975,(J72-1))</f>
        <v>1.9869786995062801</v>
      </c>
      <c r="L73" s="85"/>
    </row>
    <row r="74" spans="1:22" x14ac:dyDescent="0.2">
      <c r="A74" s="32"/>
      <c r="B74" s="59"/>
      <c r="C74" s="48"/>
      <c r="D74" s="48"/>
      <c r="E74" s="48"/>
      <c r="F74" s="43"/>
      <c r="G74" s="48"/>
      <c r="H74" s="52"/>
      <c r="I74" s="69">
        <f>(G72/((D72^2*L74^2/I75^2)+H72))</f>
        <v>380.47888716440917</v>
      </c>
      <c r="J74" s="69">
        <f>(G72/((D72^2*L74^2/J75^2)+H72))</f>
        <v>349.94304847428839</v>
      </c>
      <c r="K74" s="72">
        <f>(G72/((D72^2*L74^2/K75^2)+H72))</f>
        <v>350.13935681036281</v>
      </c>
      <c r="L74" s="86">
        <v>5</v>
      </c>
    </row>
    <row r="75" spans="1:22" x14ac:dyDescent="0.2">
      <c r="A75" s="32"/>
      <c r="B75" s="60"/>
      <c r="C75" s="62"/>
      <c r="D75" s="62"/>
      <c r="E75" s="62"/>
      <c r="F75" s="29"/>
      <c r="G75" s="62"/>
      <c r="H75" s="62" t="s">
        <v>57</v>
      </c>
      <c r="I75" s="70">
        <f>_xlfn.T.INV(0.975,(H60-1))</f>
        <v>2.0518305164802841</v>
      </c>
      <c r="J75" s="70">
        <f>_xlfn.T.INV(0.975,(I74-1))</f>
        <v>1.9662429720829315</v>
      </c>
      <c r="K75" s="70">
        <f t="shared" si="4"/>
        <v>1.9668042230482694</v>
      </c>
      <c r="L75" s="87"/>
    </row>
    <row r="76" spans="1:22" x14ac:dyDescent="0.2">
      <c r="A76" s="32"/>
      <c r="B76" s="30"/>
      <c r="C76" s="30"/>
      <c r="D76" s="30"/>
      <c r="E76" s="30"/>
      <c r="F76" s="30"/>
      <c r="G76" s="38"/>
      <c r="H76" s="38"/>
      <c r="I76" s="38"/>
      <c r="J76" s="38"/>
      <c r="K76" s="38"/>
      <c r="L76" s="30"/>
    </row>
    <row r="77" spans="1:22" x14ac:dyDescent="0.2">
      <c r="A77" s="32"/>
      <c r="B77" s="91" t="s">
        <v>84</v>
      </c>
      <c r="C77" s="91"/>
      <c r="D77" s="91"/>
      <c r="E77" s="91"/>
      <c r="F77" s="91"/>
      <c r="G77" s="91"/>
      <c r="H77" s="91"/>
      <c r="I77" s="91"/>
      <c r="J77" s="91"/>
      <c r="K77" s="91"/>
      <c r="L77" s="91"/>
    </row>
    <row r="78" spans="1:22" x14ac:dyDescent="0.2">
      <c r="A78" s="32"/>
      <c r="B78" s="55"/>
      <c r="C78" s="54" t="s">
        <v>69</v>
      </c>
      <c r="D78" s="54" t="s">
        <v>58</v>
      </c>
      <c r="E78" s="54" t="s">
        <v>56</v>
      </c>
      <c r="F78" s="54" t="s">
        <v>70</v>
      </c>
      <c r="G78" s="54" t="s">
        <v>71</v>
      </c>
      <c r="H78" s="54" t="s">
        <v>72</v>
      </c>
      <c r="I78" s="54" t="s">
        <v>73</v>
      </c>
      <c r="J78" s="54" t="s">
        <v>74</v>
      </c>
      <c r="K78" s="44" t="s">
        <v>62</v>
      </c>
      <c r="L78" s="45" t="s">
        <v>63</v>
      </c>
    </row>
    <row r="79" spans="1:22" x14ac:dyDescent="0.2">
      <c r="A79" s="32"/>
      <c r="B79" s="57" t="s">
        <v>60</v>
      </c>
      <c r="C79" s="40">
        <f>B$11</f>
        <v>1333.9</v>
      </c>
      <c r="D79" s="40">
        <f>C79/0.16</f>
        <v>8336.875</v>
      </c>
      <c r="E79" s="48">
        <v>11</v>
      </c>
      <c r="F79" s="40">
        <f>D79*(D79-E53)/E53</f>
        <v>6310161.7400568184</v>
      </c>
      <c r="G79" s="41">
        <f>_xlfn.VAR.S(E11:E21)</f>
        <v>14.095189090909106</v>
      </c>
      <c r="H79" s="41">
        <f>AVERAGE(E11:E21)</f>
        <v>5.1190909090909082</v>
      </c>
      <c r="I79" s="41">
        <f>H79*D79</f>
        <v>42677.221022727266</v>
      </c>
      <c r="J79" s="42">
        <f>D79^2*G79/E79</f>
        <v>89060432.749873146</v>
      </c>
      <c r="K79" s="42">
        <f>F79*G79</f>
        <v>88942922.920320883</v>
      </c>
      <c r="L79" s="46">
        <f>K79^2/(E53-1)</f>
        <v>791084353761014.25</v>
      </c>
    </row>
    <row r="80" spans="1:22" x14ac:dyDescent="0.2">
      <c r="A80" s="32"/>
      <c r="B80" s="57" t="s">
        <v>61</v>
      </c>
      <c r="C80" s="47">
        <f>B$22</f>
        <v>559.93600000000004</v>
      </c>
      <c r="D80" s="40">
        <f t="shared" ref="D80:D82" si="5">C80/0.16</f>
        <v>3499.6000000000004</v>
      </c>
      <c r="E80" s="48">
        <v>7</v>
      </c>
      <c r="F80" s="40">
        <f>D80*(D80-E54)/E54</f>
        <v>1746100.4228571432</v>
      </c>
      <c r="G80" s="41">
        <f>_xlfn.VAR.S(E22:E28)</f>
        <v>5.4690476190476435E-2</v>
      </c>
      <c r="H80" s="41">
        <f>AVERAGE(E22:E28)</f>
        <v>0.76714285714285702</v>
      </c>
      <c r="I80" s="41">
        <f>H80*D80</f>
        <v>2684.6931428571429</v>
      </c>
      <c r="J80" s="42">
        <f>D80^2*G80/E80</f>
        <v>95686.458392925604</v>
      </c>
      <c r="K80" s="42">
        <f t="shared" ref="K80:K82" si="6">F80*G80</f>
        <v>95495.063602449431</v>
      </c>
      <c r="L80" s="46">
        <f>K80^2/(E54-1)</f>
        <v>1519884528.7393103</v>
      </c>
    </row>
    <row r="81" spans="1:12" x14ac:dyDescent="0.2">
      <c r="A81" s="32"/>
      <c r="B81" s="57" t="s">
        <v>65</v>
      </c>
      <c r="C81" s="47">
        <f>B$29</f>
        <v>552.92899999999997</v>
      </c>
      <c r="D81" s="40">
        <f t="shared" si="5"/>
        <v>3455.8062499999996</v>
      </c>
      <c r="E81" s="48">
        <v>6</v>
      </c>
      <c r="F81" s="40">
        <f>D81*(D81-E55)/E55</f>
        <v>1986977.0000065099</v>
      </c>
      <c r="G81" s="41">
        <f>_xlfn.VAR.S(E29:E34)</f>
        <v>0.17078666666666678</v>
      </c>
      <c r="H81" s="41">
        <f>AVERAGE(E29:E34)</f>
        <v>0.72666666666666657</v>
      </c>
      <c r="I81" s="41">
        <f>H81*D81</f>
        <v>2511.2192083333325</v>
      </c>
      <c r="J81" s="42">
        <f>D81^2*G81/E81</f>
        <v>339939.3842045287</v>
      </c>
      <c r="K81" s="42">
        <f t="shared" si="6"/>
        <v>339349.17857444537</v>
      </c>
      <c r="L81" s="46">
        <f>K81^2/(E55-1)</f>
        <v>23031572999.830162</v>
      </c>
    </row>
    <row r="82" spans="1:12" x14ac:dyDescent="0.2">
      <c r="A82" s="32"/>
      <c r="B82" s="57" t="s">
        <v>75</v>
      </c>
      <c r="C82" s="47">
        <f>B$35</f>
        <v>753.23500000000001</v>
      </c>
      <c r="D82" s="40">
        <f t="shared" si="5"/>
        <v>4707.71875</v>
      </c>
      <c r="E82" s="48">
        <v>10</v>
      </c>
      <c r="F82" s="40">
        <f>D82*(D82-E56)/E56</f>
        <v>2211553.8641601563</v>
      </c>
      <c r="G82" s="41">
        <f>_xlfn.VAR.S(E35:E44)</f>
        <v>9.7822222222222165E-3</v>
      </c>
      <c r="H82" s="41">
        <f>AVERAGE(E35:E44)</f>
        <v>0.12400000000000003</v>
      </c>
      <c r="I82" s="41">
        <f>H82*D82</f>
        <v>583.75712500000009</v>
      </c>
      <c r="J82" s="42">
        <f>D82^2*G82/E82</f>
        <v>21679.963306601116</v>
      </c>
      <c r="K82" s="42">
        <f t="shared" si="6"/>
        <v>21633.911355628894</v>
      </c>
      <c r="L82" s="46">
        <f>K82^2/(E56-1)</f>
        <v>52002902.282578751</v>
      </c>
    </row>
    <row r="83" spans="1:12" x14ac:dyDescent="0.2">
      <c r="A83" s="33"/>
      <c r="B83" s="57"/>
      <c r="C83" s="48"/>
      <c r="D83" s="48"/>
      <c r="E83" s="48"/>
      <c r="F83" s="48"/>
      <c r="G83" s="48"/>
      <c r="H83" s="48"/>
      <c r="I83" s="48"/>
      <c r="J83" s="52"/>
      <c r="K83" s="48"/>
      <c r="L83" s="61"/>
    </row>
    <row r="84" spans="1:12" x14ac:dyDescent="0.2">
      <c r="A84" s="33"/>
      <c r="B84" s="57" t="s">
        <v>66</v>
      </c>
      <c r="C84" s="48"/>
      <c r="D84" s="47">
        <f>SUM(D79:D82)</f>
        <v>20000</v>
      </c>
      <c r="E84" s="47"/>
      <c r="F84" s="47"/>
      <c r="G84" s="47"/>
      <c r="H84" s="63">
        <f>I84/D84</f>
        <v>2.4228445249458868</v>
      </c>
      <c r="I84" s="64">
        <f t="shared" ref="I84:L84" si="7">SUM(I79:I82)</f>
        <v>48456.890498917739</v>
      </c>
      <c r="J84" s="65">
        <f t="shared" si="7"/>
        <v>89517738.555777207</v>
      </c>
      <c r="K84" s="65">
        <f t="shared" si="7"/>
        <v>89399401.073853403</v>
      </c>
      <c r="L84" s="66">
        <f t="shared" si="7"/>
        <v>791108957221445.13</v>
      </c>
    </row>
    <row r="85" spans="1:12" x14ac:dyDescent="0.2">
      <c r="A85" s="33"/>
      <c r="B85" s="57"/>
      <c r="C85" s="48"/>
      <c r="D85" s="48"/>
      <c r="E85" s="48"/>
      <c r="F85" s="48"/>
      <c r="G85" s="51" t="s">
        <v>76</v>
      </c>
      <c r="H85" s="58">
        <f>J84/D84^2</f>
        <v>0.22379434638944301</v>
      </c>
      <c r="I85" s="48"/>
      <c r="J85" s="48"/>
      <c r="K85" s="48"/>
      <c r="L85" s="61"/>
    </row>
    <row r="86" spans="1:12" x14ac:dyDescent="0.2">
      <c r="A86" s="33"/>
      <c r="B86" s="57"/>
      <c r="C86" s="48"/>
      <c r="D86" s="48"/>
      <c r="E86" s="48"/>
      <c r="F86" s="48"/>
      <c r="G86" s="51" t="s">
        <v>64</v>
      </c>
      <c r="H86" s="40">
        <f>_xlfn.FLOOR.MATH(K84^2/L84)</f>
        <v>10</v>
      </c>
      <c r="I86" s="48"/>
      <c r="J86" s="48"/>
      <c r="K86" s="48"/>
      <c r="L86" s="61"/>
    </row>
    <row r="87" spans="1:12" x14ac:dyDescent="0.2">
      <c r="A87" s="33"/>
      <c r="B87" s="57"/>
      <c r="C87" s="48"/>
      <c r="D87" s="48"/>
      <c r="E87" s="48"/>
      <c r="F87" s="48"/>
      <c r="G87" s="51" t="s">
        <v>57</v>
      </c>
      <c r="H87" s="41">
        <f>_xlfn.T.INV(0.975,(H86-1))</f>
        <v>2.2621571627982049</v>
      </c>
      <c r="I87" s="48"/>
      <c r="J87" s="48"/>
      <c r="K87" s="48"/>
      <c r="L87" s="61"/>
    </row>
    <row r="88" spans="1:12" x14ac:dyDescent="0.2">
      <c r="A88" s="33"/>
      <c r="B88" s="57"/>
      <c r="C88" s="48"/>
      <c r="D88" s="48"/>
      <c r="E88" s="48"/>
      <c r="F88" s="48"/>
      <c r="G88" s="51" t="s">
        <v>77</v>
      </c>
      <c r="H88" s="49">
        <f>H87*SQRT(H85)</f>
        <v>1.0701565885431765</v>
      </c>
      <c r="I88" s="48"/>
      <c r="J88" s="48"/>
      <c r="K88" s="48"/>
      <c r="L88" s="61"/>
    </row>
    <row r="89" spans="1:12" x14ac:dyDescent="0.2">
      <c r="A89" s="33"/>
      <c r="B89" s="57"/>
      <c r="C89" s="48"/>
      <c r="D89" s="48"/>
      <c r="E89" s="48"/>
      <c r="F89" s="48"/>
      <c r="G89" s="51" t="s">
        <v>78</v>
      </c>
      <c r="H89" s="41">
        <f>H88/H84*100</f>
        <v>44.169428847980988</v>
      </c>
      <c r="I89" s="48"/>
      <c r="J89" s="48"/>
      <c r="K89" s="48"/>
      <c r="L89" s="61"/>
    </row>
    <row r="90" spans="1:12" x14ac:dyDescent="0.2">
      <c r="A90" s="34"/>
      <c r="B90" s="57"/>
      <c r="C90" s="48"/>
      <c r="D90" s="48"/>
      <c r="E90" s="48"/>
      <c r="F90" s="48"/>
      <c r="G90" s="48"/>
      <c r="H90" s="48"/>
      <c r="I90" s="48"/>
      <c r="J90" s="48"/>
      <c r="K90" s="48"/>
      <c r="L90" s="61"/>
    </row>
    <row r="91" spans="1:12" x14ac:dyDescent="0.2">
      <c r="A91" s="33"/>
      <c r="B91" s="59"/>
      <c r="C91" s="48"/>
      <c r="D91" s="39" t="s">
        <v>58</v>
      </c>
      <c r="E91" s="39" t="s">
        <v>79</v>
      </c>
      <c r="F91" s="39" t="s">
        <v>55</v>
      </c>
      <c r="G91" s="39" t="s">
        <v>67</v>
      </c>
      <c r="H91" s="39" t="s">
        <v>68</v>
      </c>
      <c r="I91" s="48"/>
      <c r="J91" s="48"/>
      <c r="K91" s="48"/>
      <c r="L91" s="61"/>
    </row>
    <row r="92" spans="1:12" x14ac:dyDescent="0.2">
      <c r="A92" s="33"/>
      <c r="B92" s="59"/>
      <c r="C92" s="48" t="s">
        <v>60</v>
      </c>
      <c r="D92" s="40">
        <f>D79</f>
        <v>8336.875</v>
      </c>
      <c r="E92" s="41">
        <f>D79/D$84</f>
        <v>0.41684375000000001</v>
      </c>
      <c r="F92" s="41">
        <f>SQRT(G79)/H79*100</f>
        <v>73.340287995364122</v>
      </c>
      <c r="G92" s="42">
        <f>D92^2*F92^2/E92</f>
        <v>896847305387.72144</v>
      </c>
      <c r="H92" s="42">
        <f>D92*F92^2</f>
        <v>44842365.269386075</v>
      </c>
      <c r="I92" s="48"/>
      <c r="J92" s="48"/>
      <c r="K92" s="48"/>
      <c r="L92" s="61"/>
    </row>
    <row r="93" spans="1:12" x14ac:dyDescent="0.2">
      <c r="A93" s="33"/>
      <c r="B93" s="59"/>
      <c r="C93" s="48" t="s">
        <v>61</v>
      </c>
      <c r="D93" s="40">
        <f>D80</f>
        <v>3499.6000000000004</v>
      </c>
      <c r="E93" s="41">
        <f>D80/D$84</f>
        <v>0.17498000000000002</v>
      </c>
      <c r="F93" s="41">
        <f>SQRT(G80)/H80*100</f>
        <v>30.484537237391134</v>
      </c>
      <c r="G93" s="42">
        <f>D93^2*F93^2/E93</f>
        <v>65044056284.367439</v>
      </c>
      <c r="H93" s="42">
        <f>D93*F93^2</f>
        <v>3252202.8142183726</v>
      </c>
      <c r="I93" s="48"/>
      <c r="J93" s="48"/>
      <c r="K93" s="48"/>
      <c r="L93" s="61"/>
    </row>
    <row r="94" spans="1:12" x14ac:dyDescent="0.2">
      <c r="A94" s="33"/>
      <c r="B94" s="59"/>
      <c r="C94" s="48" t="s">
        <v>65</v>
      </c>
      <c r="D94" s="40">
        <f>D81</f>
        <v>3455.8062499999996</v>
      </c>
      <c r="E94" s="41">
        <f>D81/D$84</f>
        <v>0.17279031249999999</v>
      </c>
      <c r="F94" s="41">
        <f>SQRT(G81)/H81*100</f>
        <v>56.871114901375144</v>
      </c>
      <c r="G94" s="42">
        <f>D94^2*F94^2/E94</f>
        <v>223543921839.49185</v>
      </c>
      <c r="H94" s="42">
        <f>D94*F94^2</f>
        <v>11177196.091974592</v>
      </c>
      <c r="I94" s="48"/>
      <c r="J94" s="48"/>
      <c r="K94" s="48"/>
      <c r="L94" s="61"/>
    </row>
    <row r="95" spans="1:12" x14ac:dyDescent="0.2">
      <c r="A95" s="33"/>
      <c r="B95" s="59"/>
      <c r="C95" s="48" t="s">
        <v>75</v>
      </c>
      <c r="D95" s="40">
        <f>D82</f>
        <v>4707.71875</v>
      </c>
      <c r="E95" s="41">
        <f>D82/D$84</f>
        <v>0.2353859375</v>
      </c>
      <c r="F95" s="41">
        <f>SQRT(G82)/H82*100</f>
        <v>79.762191346895534</v>
      </c>
      <c r="G95" s="42">
        <f>D95^2*F95^2/E95</f>
        <v>599010808691.75574</v>
      </c>
      <c r="H95" s="42">
        <f>D95*F95^2</f>
        <v>29950540.434587792</v>
      </c>
      <c r="I95" s="48"/>
      <c r="J95" s="48"/>
      <c r="K95" s="48"/>
      <c r="L95" s="61"/>
    </row>
    <row r="96" spans="1:12" x14ac:dyDescent="0.2">
      <c r="A96" s="33"/>
      <c r="B96" s="57"/>
      <c r="C96" s="48"/>
      <c r="D96" s="48"/>
      <c r="E96" s="48"/>
      <c r="F96" s="48"/>
      <c r="G96" s="48"/>
      <c r="H96" s="48"/>
      <c r="I96" s="48"/>
      <c r="J96" s="48"/>
      <c r="K96" s="48"/>
      <c r="L96" s="61"/>
    </row>
    <row r="97" spans="1:12" x14ac:dyDescent="0.2">
      <c r="A97" s="33"/>
      <c r="B97" s="59"/>
      <c r="C97" s="48"/>
      <c r="D97" s="48"/>
      <c r="E97" s="48"/>
      <c r="F97" s="43"/>
      <c r="G97" s="48"/>
      <c r="H97" s="48"/>
      <c r="I97" s="39" t="s">
        <v>59</v>
      </c>
      <c r="J97" s="39" t="s">
        <v>59</v>
      </c>
      <c r="K97" s="39" t="s">
        <v>59</v>
      </c>
      <c r="L97" s="71" t="s">
        <v>80</v>
      </c>
    </row>
    <row r="98" spans="1:12" x14ac:dyDescent="0.2">
      <c r="A98" s="33"/>
      <c r="B98" s="50"/>
      <c r="C98" s="51" t="s">
        <v>66</v>
      </c>
      <c r="D98" s="47">
        <f>SUM(D92:D95)</f>
        <v>20000</v>
      </c>
      <c r="E98" s="47">
        <f>SUM(E92:E95)</f>
        <v>1</v>
      </c>
      <c r="F98" s="43"/>
      <c r="G98" s="52">
        <f>SUM(G92:G95)</f>
        <v>1784446092203.3364</v>
      </c>
      <c r="H98" s="52">
        <f>SUM(H92:H95)</f>
        <v>89222304.610166833</v>
      </c>
      <c r="I98" s="67">
        <f>(G98/((D98^2*L98^2/I99^2)+H98))</f>
        <v>225.7146720167579</v>
      </c>
      <c r="J98" s="67">
        <f>(G98/((D98^2*L98^2/J99^2)+H98))</f>
        <v>171.75112683704324</v>
      </c>
      <c r="K98" s="73">
        <f>(G98/((D98^2*L98^2/K99^2)+H98))</f>
        <v>172.34018422805775</v>
      </c>
      <c r="L98" s="85">
        <v>10</v>
      </c>
    </row>
    <row r="99" spans="1:12" x14ac:dyDescent="0.2">
      <c r="A99" s="33"/>
      <c r="B99" s="59"/>
      <c r="C99" s="48"/>
      <c r="D99" s="48"/>
      <c r="E99" s="48"/>
      <c r="F99" s="43"/>
      <c r="G99" s="48"/>
      <c r="H99" s="48" t="s">
        <v>57</v>
      </c>
      <c r="I99" s="68">
        <f>_xlfn.T.INV(0.975,(H86-1))</f>
        <v>2.2621571627982049</v>
      </c>
      <c r="J99" s="68">
        <f>_xlfn.T.INV(0.975,(I98-1))</f>
        <v>1.9706109611023637</v>
      </c>
      <c r="K99" s="68">
        <f t="shared" ref="K99:K101" si="8">_xlfn.T.INV(0.975,(J98-1))</f>
        <v>1.974016707630968</v>
      </c>
      <c r="L99" s="85"/>
    </row>
    <row r="100" spans="1:12" x14ac:dyDescent="0.2">
      <c r="A100" s="33"/>
      <c r="B100" s="59"/>
      <c r="C100" s="48"/>
      <c r="D100" s="48"/>
      <c r="E100" s="48"/>
      <c r="F100" s="48"/>
      <c r="G100" s="48"/>
      <c r="H100" s="52"/>
      <c r="I100" s="69">
        <f>(G98/((D98^2*L100^2/I101^2)+H98))</f>
        <v>873.29148296902429</v>
      </c>
      <c r="J100" s="69">
        <f>(G98/((D98^2*L100^2/J101^2)+H98))</f>
        <v>664.55396333271085</v>
      </c>
      <c r="K100" s="72">
        <f>(G98/((D98^2*L100^2/K101^2)+H98))</f>
        <v>665.11730065143922</v>
      </c>
      <c r="L100" s="86">
        <v>5</v>
      </c>
    </row>
    <row r="101" spans="1:12" x14ac:dyDescent="0.2">
      <c r="A101" s="33"/>
      <c r="B101" s="60"/>
      <c r="C101" s="62"/>
      <c r="D101" s="62"/>
      <c r="E101" s="62"/>
      <c r="F101" s="62"/>
      <c r="G101" s="62"/>
      <c r="H101" s="62" t="s">
        <v>57</v>
      </c>
      <c r="I101" s="70">
        <f>_xlfn.T.INV(0.975,(H86-1))</f>
        <v>2.2621571627982049</v>
      </c>
      <c r="J101" s="70">
        <f>_xlfn.T.INV(0.975,(I100-1))</f>
        <v>1.962688194866099</v>
      </c>
      <c r="K101" s="70">
        <f t="shared" si="8"/>
        <v>1.9635485006977025</v>
      </c>
      <c r="L101" s="87"/>
    </row>
    <row r="102" spans="1:12" x14ac:dyDescent="0.2">
      <c r="A102" s="33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1:12" x14ac:dyDescent="0.2">
      <c r="A103" s="33"/>
      <c r="B103" s="94" t="s">
        <v>86</v>
      </c>
      <c r="C103" s="94"/>
      <c r="D103" s="94"/>
      <c r="E103" s="94"/>
      <c r="F103" s="94"/>
      <c r="G103" s="94"/>
      <c r="H103" s="94"/>
      <c r="I103" s="94"/>
      <c r="J103" s="94"/>
      <c r="K103" s="94"/>
      <c r="L103" s="94"/>
    </row>
    <row r="104" spans="1:12" x14ac:dyDescent="0.2">
      <c r="A104" s="33"/>
      <c r="B104" s="55"/>
      <c r="C104" s="56" t="s">
        <v>69</v>
      </c>
      <c r="D104" s="54" t="s">
        <v>58</v>
      </c>
      <c r="E104" s="54" t="s">
        <v>56</v>
      </c>
      <c r="F104" s="54" t="s">
        <v>70</v>
      </c>
      <c r="G104" s="54" t="s">
        <v>71</v>
      </c>
      <c r="H104" s="54" t="s">
        <v>72</v>
      </c>
      <c r="I104" s="54" t="s">
        <v>73</v>
      </c>
      <c r="J104" s="54" t="s">
        <v>74</v>
      </c>
      <c r="K104" s="44" t="s">
        <v>62</v>
      </c>
      <c r="L104" s="45" t="s">
        <v>63</v>
      </c>
    </row>
    <row r="105" spans="1:12" x14ac:dyDescent="0.2">
      <c r="A105" s="33"/>
      <c r="B105" s="57" t="s">
        <v>60</v>
      </c>
      <c r="C105" s="40">
        <f>B$11</f>
        <v>1333.9</v>
      </c>
      <c r="D105" s="40">
        <f>C105/0.16</f>
        <v>8336.875</v>
      </c>
      <c r="E105" s="39">
        <v>11</v>
      </c>
      <c r="F105" s="40">
        <f>D105*(D105-E105)/E105</f>
        <v>6310161.7400568184</v>
      </c>
      <c r="G105" s="41">
        <f>_xlfn.VAR.S(F11:F21)</f>
        <v>5.2510472727272601</v>
      </c>
      <c r="H105" s="41">
        <f>AVERAGE(F11:F21)</f>
        <v>8.5045454545454557</v>
      </c>
      <c r="I105" s="41">
        <f>H105*D105</f>
        <v>70901.332386363647</v>
      </c>
      <c r="J105" s="42">
        <f>D105^2*G105/E105</f>
        <v>33178734.920325074</v>
      </c>
      <c r="K105" s="42">
        <f>F105*G105</f>
        <v>33134957.595593259</v>
      </c>
      <c r="L105" s="46">
        <f>K105^2/(E105-1)</f>
        <v>109792541486176.34</v>
      </c>
    </row>
    <row r="106" spans="1:12" x14ac:dyDescent="0.2">
      <c r="A106" s="33"/>
      <c r="B106" s="57" t="s">
        <v>61</v>
      </c>
      <c r="C106" s="47">
        <f>B$22</f>
        <v>559.93600000000004</v>
      </c>
      <c r="D106" s="40">
        <f t="shared" ref="D106:D108" si="9">C106/0.16</f>
        <v>3499.6000000000004</v>
      </c>
      <c r="E106" s="39">
        <v>7</v>
      </c>
      <c r="F106" s="40">
        <f>D106*(D106-E106)/E106</f>
        <v>1746100.4228571432</v>
      </c>
      <c r="G106" s="41">
        <f>_xlfn.VAR.S(F22:F28)</f>
        <v>1.5314285714285727</v>
      </c>
      <c r="H106" s="41">
        <f>AVERAGE(F22:F28)</f>
        <v>6.2157142857142853</v>
      </c>
      <c r="I106" s="41">
        <f>H106*D106</f>
        <v>21752.513714285717</v>
      </c>
      <c r="J106" s="42">
        <f>D106^2*G106/E106</f>
        <v>2679387.4635755126</v>
      </c>
      <c r="K106" s="42">
        <f t="shared" ref="K106:K108" si="10">F106*G106</f>
        <v>2674028.0761469416</v>
      </c>
      <c r="L106" s="46">
        <f t="shared" ref="L106:L108" si="11">K106^2/(E106-1)</f>
        <v>1191737692003.6858</v>
      </c>
    </row>
    <row r="107" spans="1:12" x14ac:dyDescent="0.2">
      <c r="A107" s="33"/>
      <c r="B107" s="57" t="s">
        <v>65</v>
      </c>
      <c r="C107" s="47">
        <f>B$29</f>
        <v>552.92899999999997</v>
      </c>
      <c r="D107" s="40">
        <f t="shared" si="9"/>
        <v>3455.8062499999996</v>
      </c>
      <c r="E107" s="39">
        <v>6</v>
      </c>
      <c r="F107" s="40">
        <f>D107*(D107-E107)/E107</f>
        <v>1986977.0000065099</v>
      </c>
      <c r="G107" s="41">
        <f>_xlfn.VAR.S(F29:F34)</f>
        <v>3.2004399999999977</v>
      </c>
      <c r="H107" s="41">
        <f>AVERAGE(F29:F34)</f>
        <v>5.1100000000000003</v>
      </c>
      <c r="I107" s="41">
        <f>H107*D107</f>
        <v>17659.169937499999</v>
      </c>
      <c r="J107" s="42">
        <f>D107^2*G107/E107</f>
        <v>6370260.7704555802</v>
      </c>
      <c r="K107" s="42">
        <f t="shared" si="10"/>
        <v>6359200.6699008299</v>
      </c>
      <c r="L107" s="46">
        <f t="shared" si="11"/>
        <v>8087886632013.4326</v>
      </c>
    </row>
    <row r="108" spans="1:12" x14ac:dyDescent="0.2">
      <c r="A108" s="33"/>
      <c r="B108" s="57" t="s">
        <v>75</v>
      </c>
      <c r="C108" s="47">
        <f>B$35</f>
        <v>753.23500000000001</v>
      </c>
      <c r="D108" s="40">
        <f t="shared" si="9"/>
        <v>4707.71875</v>
      </c>
      <c r="E108" s="39">
        <v>10</v>
      </c>
      <c r="F108" s="40">
        <f>D108*(D108-E108)/E108</f>
        <v>2211553.8641601563</v>
      </c>
      <c r="G108" s="41">
        <f>_xlfn.VAR.S(F35:F44)</f>
        <v>0.42798222222222648</v>
      </c>
      <c r="H108" s="41">
        <f>AVERAGE(F35:F44)</f>
        <v>5.8739999999999997</v>
      </c>
      <c r="I108" s="41">
        <f>H108*D108</f>
        <v>27653.1399375</v>
      </c>
      <c r="J108" s="42">
        <f>D108^2*G108/E108</f>
        <v>948520.55727963778</v>
      </c>
      <c r="K108" s="42">
        <f t="shared" si="10"/>
        <v>946505.73734741576</v>
      </c>
      <c r="L108" s="46">
        <f t="shared" si="11"/>
        <v>99541456759.063904</v>
      </c>
    </row>
    <row r="109" spans="1:12" x14ac:dyDescent="0.2">
      <c r="A109" s="33"/>
      <c r="B109" s="57"/>
      <c r="C109" s="48"/>
      <c r="D109" s="48"/>
      <c r="E109" s="48"/>
      <c r="F109" s="48"/>
      <c r="G109" s="48"/>
      <c r="H109" s="48"/>
      <c r="I109" s="48"/>
      <c r="J109" s="52"/>
      <c r="K109" s="48"/>
      <c r="L109" s="61"/>
    </row>
    <row r="110" spans="1:12" x14ac:dyDescent="0.2">
      <c r="A110" s="33"/>
      <c r="B110" s="57" t="s">
        <v>66</v>
      </c>
      <c r="C110" s="48"/>
      <c r="D110" s="47">
        <f>SUM(D105:D108)</f>
        <v>20000</v>
      </c>
      <c r="E110" s="47"/>
      <c r="F110" s="47"/>
      <c r="G110" s="47"/>
      <c r="H110" s="63">
        <f>I110/D110</f>
        <v>6.8983077987824686</v>
      </c>
      <c r="I110" s="64">
        <f t="shared" ref="I110:L110" si="12">SUM(I105:I108)</f>
        <v>137966.15597564937</v>
      </c>
      <c r="J110" s="65">
        <f t="shared" si="12"/>
        <v>43176903.711635806</v>
      </c>
      <c r="K110" s="65">
        <f t="shared" si="12"/>
        <v>43114692.078988448</v>
      </c>
      <c r="L110" s="66">
        <f t="shared" si="12"/>
        <v>119171707266952.53</v>
      </c>
    </row>
    <row r="111" spans="1:12" x14ac:dyDescent="0.2">
      <c r="A111" s="33"/>
      <c r="B111" s="57"/>
      <c r="C111" s="48"/>
      <c r="D111" s="48"/>
      <c r="E111" s="48"/>
      <c r="F111" s="48"/>
      <c r="G111" s="51" t="s">
        <v>76</v>
      </c>
      <c r="H111" s="58">
        <f>J110/D110^2</f>
        <v>0.10794225927908951</v>
      </c>
      <c r="I111" s="48"/>
      <c r="J111" s="48"/>
      <c r="K111" s="48"/>
      <c r="L111" s="61"/>
    </row>
    <row r="112" spans="1:12" x14ac:dyDescent="0.2">
      <c r="A112" s="33"/>
      <c r="B112" s="57"/>
      <c r="C112" s="48"/>
      <c r="D112" s="48"/>
      <c r="E112" s="48"/>
      <c r="F112" s="48"/>
      <c r="G112" s="51" t="s">
        <v>64</v>
      </c>
      <c r="H112" s="40">
        <f>_xlfn.FLOOR.MATH(K110^2/L110)</f>
        <v>15</v>
      </c>
      <c r="I112" s="48"/>
      <c r="J112" s="48"/>
      <c r="K112" s="48"/>
      <c r="L112" s="61"/>
    </row>
    <row r="113" spans="1:12" x14ac:dyDescent="0.2">
      <c r="A113" s="33"/>
      <c r="B113" s="57"/>
      <c r="C113" s="48"/>
      <c r="D113" s="48"/>
      <c r="E113" s="48"/>
      <c r="F113" s="48"/>
      <c r="G113" s="51" t="s">
        <v>57</v>
      </c>
      <c r="H113" s="41">
        <f>_xlfn.T.INV(0.975,(H112-1))</f>
        <v>2.1447866879178035</v>
      </c>
      <c r="I113" s="48"/>
      <c r="J113" s="48"/>
      <c r="K113" s="48"/>
      <c r="L113" s="61"/>
    </row>
    <row r="114" spans="1:12" x14ac:dyDescent="0.2">
      <c r="A114" s="33"/>
      <c r="B114" s="57"/>
      <c r="C114" s="48"/>
      <c r="D114" s="48"/>
      <c r="E114" s="48"/>
      <c r="F114" s="48"/>
      <c r="G114" s="51" t="s">
        <v>77</v>
      </c>
      <c r="H114" s="49">
        <f>H113*SQRT(H111)</f>
        <v>0.70466038592806302</v>
      </c>
      <c r="I114" s="48"/>
      <c r="J114" s="48"/>
      <c r="K114" s="48"/>
      <c r="L114" s="61"/>
    </row>
    <row r="115" spans="1:12" x14ac:dyDescent="0.2">
      <c r="A115" s="33"/>
      <c r="B115" s="57"/>
      <c r="C115" s="48"/>
      <c r="D115" s="48"/>
      <c r="E115" s="48"/>
      <c r="F115" s="48"/>
      <c r="G115" s="51" t="s">
        <v>78</v>
      </c>
      <c r="H115" s="41">
        <f>H114/H110*100</f>
        <v>10.214974548576009</v>
      </c>
      <c r="I115" s="48"/>
      <c r="J115" s="48"/>
      <c r="K115" s="48"/>
      <c r="L115" s="61"/>
    </row>
    <row r="116" spans="1:12" x14ac:dyDescent="0.2">
      <c r="A116" s="33"/>
      <c r="B116" s="57"/>
      <c r="C116" s="48"/>
      <c r="D116" s="48"/>
      <c r="E116" s="48"/>
      <c r="F116" s="48"/>
      <c r="G116" s="48"/>
      <c r="H116" s="48"/>
      <c r="I116" s="48"/>
      <c r="J116" s="48"/>
      <c r="K116" s="48"/>
      <c r="L116" s="61"/>
    </row>
    <row r="117" spans="1:12" x14ac:dyDescent="0.2">
      <c r="A117" s="33"/>
      <c r="B117" s="59"/>
      <c r="C117" s="48"/>
      <c r="D117" s="39" t="s">
        <v>58</v>
      </c>
      <c r="E117" s="39" t="s">
        <v>79</v>
      </c>
      <c r="F117" s="39" t="s">
        <v>55</v>
      </c>
      <c r="G117" s="39" t="s">
        <v>67</v>
      </c>
      <c r="H117" s="39" t="s">
        <v>68</v>
      </c>
      <c r="I117" s="48"/>
      <c r="J117" s="48"/>
      <c r="K117" s="48"/>
      <c r="L117" s="61"/>
    </row>
    <row r="118" spans="1:12" x14ac:dyDescent="0.2">
      <c r="A118" s="33"/>
      <c r="B118" s="59"/>
      <c r="C118" s="48" t="s">
        <v>60</v>
      </c>
      <c r="D118" s="40">
        <f>D105</f>
        <v>8336.875</v>
      </c>
      <c r="E118" s="41">
        <f>D105/D$84</f>
        <v>0.41684375000000001</v>
      </c>
      <c r="F118" s="41">
        <f>SQRT(G105)/H105*100</f>
        <v>26.944607233562884</v>
      </c>
      <c r="G118" s="42">
        <f>D118^2*F118^2/E118</f>
        <v>121053402335.172</v>
      </c>
      <c r="H118" s="42">
        <f>D118*F118^2</f>
        <v>6052670.1167585999</v>
      </c>
      <c r="I118" s="48"/>
      <c r="J118" s="48"/>
      <c r="K118" s="48"/>
      <c r="L118" s="61"/>
    </row>
    <row r="119" spans="1:12" x14ac:dyDescent="0.2">
      <c r="A119" s="33"/>
      <c r="B119" s="59"/>
      <c r="C119" s="48" t="s">
        <v>61</v>
      </c>
      <c r="D119" s="40">
        <f>D106</f>
        <v>3499.6000000000004</v>
      </c>
      <c r="E119" s="41">
        <f>D106/D$84</f>
        <v>0.17498000000000002</v>
      </c>
      <c r="F119" s="41">
        <f>SQRT(G106)/H106*100</f>
        <v>19.909361367692693</v>
      </c>
      <c r="G119" s="42">
        <f>D119^2*F119^2/E119</f>
        <v>27743615843.495644</v>
      </c>
      <c r="H119" s="42">
        <f>D119*F119^2</f>
        <v>1387180.7921747821</v>
      </c>
      <c r="I119" s="48"/>
      <c r="J119" s="48"/>
      <c r="K119" s="48"/>
      <c r="L119" s="61"/>
    </row>
    <row r="120" spans="1:12" x14ac:dyDescent="0.2">
      <c r="A120" s="33"/>
      <c r="B120" s="59"/>
      <c r="C120" s="48" t="s">
        <v>65</v>
      </c>
      <c r="D120" s="40">
        <f>D107</f>
        <v>3455.8062499999996</v>
      </c>
      <c r="E120" s="41">
        <f>D107/D$84</f>
        <v>0.17279031249999999</v>
      </c>
      <c r="F120" s="41">
        <f>SQRT(G107)/H107*100</f>
        <v>35.00934171255026</v>
      </c>
      <c r="G120" s="42">
        <f>D120^2*F120^2/E120</f>
        <v>84712455564.66153</v>
      </c>
      <c r="H120" s="42">
        <f>D120*F120^2</f>
        <v>4235622.7782330764</v>
      </c>
      <c r="I120" s="48"/>
      <c r="J120" s="48"/>
      <c r="K120" s="48"/>
      <c r="L120" s="61"/>
    </row>
    <row r="121" spans="1:12" x14ac:dyDescent="0.2">
      <c r="A121" s="33"/>
      <c r="B121" s="59"/>
      <c r="C121" s="48" t="s">
        <v>75</v>
      </c>
      <c r="D121" s="40">
        <f>D108</f>
        <v>4707.71875</v>
      </c>
      <c r="E121" s="41">
        <f>D108/D$84</f>
        <v>0.2353859375</v>
      </c>
      <c r="F121" s="41">
        <f>SQRT(G108)/H108*100</f>
        <v>11.137274466251819</v>
      </c>
      <c r="G121" s="42">
        <f>D121^2*F121^2/E121</f>
        <v>11678803460.934317</v>
      </c>
      <c r="H121" s="42">
        <f>D121*F121^2</f>
        <v>583940.17304671591</v>
      </c>
      <c r="I121" s="48"/>
      <c r="J121" s="48"/>
      <c r="K121" s="48"/>
      <c r="L121" s="61"/>
    </row>
    <row r="122" spans="1:12" x14ac:dyDescent="0.2">
      <c r="A122" s="33"/>
      <c r="B122" s="57"/>
      <c r="C122" s="48"/>
      <c r="D122" s="48"/>
      <c r="E122" s="48"/>
      <c r="F122" s="48"/>
      <c r="G122" s="48"/>
      <c r="H122" s="48"/>
      <c r="I122" s="48"/>
      <c r="J122" s="48"/>
      <c r="K122" s="48"/>
      <c r="L122" s="61"/>
    </row>
    <row r="123" spans="1:12" x14ac:dyDescent="0.2">
      <c r="A123" s="33"/>
      <c r="B123" s="59"/>
      <c r="C123" s="48"/>
      <c r="D123" s="48"/>
      <c r="E123" s="48"/>
      <c r="F123" s="28"/>
      <c r="G123" s="48"/>
      <c r="H123" s="48"/>
      <c r="I123" s="39" t="s">
        <v>59</v>
      </c>
      <c r="J123" s="39" t="s">
        <v>59</v>
      </c>
      <c r="K123" s="39" t="s">
        <v>59</v>
      </c>
      <c r="L123" s="71" t="s">
        <v>80</v>
      </c>
    </row>
    <row r="124" spans="1:12" x14ac:dyDescent="0.2">
      <c r="A124" s="33"/>
      <c r="B124" s="50"/>
      <c r="C124" s="51" t="s">
        <v>66</v>
      </c>
      <c r="D124" s="47">
        <f>SUM(D118:D121)</f>
        <v>20000</v>
      </c>
      <c r="E124" s="47">
        <f>SUM(E118:E121)</f>
        <v>1</v>
      </c>
      <c r="F124" s="43"/>
      <c r="G124" s="52">
        <f>SUM(G118:G121)</f>
        <v>245188277204.26349</v>
      </c>
      <c r="H124" s="52">
        <f>SUM(H118:H121)</f>
        <v>12259413.860213175</v>
      </c>
      <c r="I124" s="67">
        <f>(G124/((D124^2*L124^2/I125^2)+H124))</f>
        <v>28.157627268621368</v>
      </c>
      <c r="J124" s="67">
        <f>(G124/((D124^2*L124^2/J125^2)+H124))</f>
        <v>25.772863206747971</v>
      </c>
      <c r="K124" s="73">
        <f>(G124/((D124^2*L124^2/K125^2)+H124))</f>
        <v>26.076529641498198</v>
      </c>
      <c r="L124" s="85">
        <v>10</v>
      </c>
    </row>
    <row r="125" spans="1:12" x14ac:dyDescent="0.2">
      <c r="A125" s="33"/>
      <c r="B125" s="59"/>
      <c r="C125" s="48"/>
      <c r="D125" s="48"/>
      <c r="E125" s="48"/>
      <c r="F125" s="43"/>
      <c r="G125" s="48"/>
      <c r="H125" s="48" t="s">
        <v>57</v>
      </c>
      <c r="I125" s="68">
        <f>_xlfn.T.INV(0.975,(H112-1))</f>
        <v>2.1447866879178035</v>
      </c>
      <c r="J125" s="68">
        <f>_xlfn.T.INV(0.975,(I124-1))</f>
        <v>2.0518305164802841</v>
      </c>
      <c r="K125" s="68">
        <f t="shared" ref="K125:K127" si="13">_xlfn.T.INV(0.975,(J124-1))</f>
        <v>2.0638985616280254</v>
      </c>
      <c r="L125" s="85"/>
    </row>
    <row r="126" spans="1:12" x14ac:dyDescent="0.2">
      <c r="A126" s="33"/>
      <c r="B126" s="59"/>
      <c r="C126" s="48"/>
      <c r="D126" s="48"/>
      <c r="E126" s="48"/>
      <c r="F126" s="48"/>
      <c r="G126" s="48"/>
      <c r="H126" s="52"/>
      <c r="I126" s="69">
        <f>(G124/((D124^2*L126^2/I127^2)+H124))</f>
        <v>112.15679867457737</v>
      </c>
      <c r="J126" s="69">
        <f>(G124/((D124^2*L126^2/J127^2)+H124))</f>
        <v>95.81456479299446</v>
      </c>
      <c r="K126" s="72">
        <f>(G124/((D124^2*L126^2/K127^2)+H124))</f>
        <v>96.195739206442369</v>
      </c>
      <c r="L126" s="86">
        <v>5</v>
      </c>
    </row>
    <row r="127" spans="1:12" x14ac:dyDescent="0.2">
      <c r="A127" s="33"/>
      <c r="B127" s="60"/>
      <c r="C127" s="62"/>
      <c r="D127" s="62"/>
      <c r="E127" s="62"/>
      <c r="F127" s="62"/>
      <c r="G127" s="62"/>
      <c r="H127" s="62" t="s">
        <v>57</v>
      </c>
      <c r="I127" s="70">
        <f>_xlfn.T.INV(0.975,(H112-1))</f>
        <v>2.1447866879178035</v>
      </c>
      <c r="J127" s="70">
        <f>_xlfn.T.INV(0.975,(I126-1))</f>
        <v>1.9815667570749009</v>
      </c>
      <c r="K127" s="70">
        <f t="shared" si="13"/>
        <v>1.9855234418666059</v>
      </c>
      <c r="L127" s="87"/>
    </row>
    <row r="128" spans="1:12" x14ac:dyDescent="0.2">
      <c r="A128" s="33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</row>
    <row r="129" spans="1:12" x14ac:dyDescent="0.2">
      <c r="A129" s="33"/>
      <c r="B129" s="91" t="s">
        <v>85</v>
      </c>
      <c r="C129" s="91"/>
      <c r="D129" s="91"/>
      <c r="E129" s="91"/>
      <c r="F129" s="91"/>
      <c r="G129" s="91"/>
      <c r="H129" s="91"/>
      <c r="I129" s="91"/>
      <c r="J129" s="91"/>
      <c r="K129" s="91"/>
      <c r="L129" s="91"/>
    </row>
    <row r="130" spans="1:12" x14ac:dyDescent="0.2">
      <c r="A130" s="33"/>
      <c r="B130" s="55"/>
      <c r="C130" s="56" t="s">
        <v>69</v>
      </c>
      <c r="D130" s="54" t="s">
        <v>58</v>
      </c>
      <c r="E130" s="54" t="s">
        <v>56</v>
      </c>
      <c r="F130" s="54" t="s">
        <v>70</v>
      </c>
      <c r="G130" s="54" t="s">
        <v>71</v>
      </c>
      <c r="H130" s="54" t="s">
        <v>72</v>
      </c>
      <c r="I130" s="54" t="s">
        <v>73</v>
      </c>
      <c r="J130" s="54" t="s">
        <v>74</v>
      </c>
      <c r="K130" s="44" t="s">
        <v>62</v>
      </c>
      <c r="L130" s="45" t="s">
        <v>63</v>
      </c>
    </row>
    <row r="131" spans="1:12" x14ac:dyDescent="0.2">
      <c r="A131" s="33"/>
      <c r="B131" s="57" t="s">
        <v>60</v>
      </c>
      <c r="C131" s="40">
        <f>B$11</f>
        <v>1333.9</v>
      </c>
      <c r="D131" s="40">
        <f>C131/0.16</f>
        <v>8336.875</v>
      </c>
      <c r="E131" s="39">
        <v>11</v>
      </c>
      <c r="F131" s="40">
        <f>D131*(D131-E131)/E131</f>
        <v>6310161.7400568184</v>
      </c>
      <c r="G131" s="41">
        <f>_xlfn.VAR.S(G11:G21)</f>
        <v>7.3210418181817882</v>
      </c>
      <c r="H131" s="41">
        <f>AVERAGE(G11:G21)</f>
        <v>10.457272727272729</v>
      </c>
      <c r="I131" s="41">
        <f>H131*D131</f>
        <v>87180.975568181835</v>
      </c>
      <c r="J131" s="42">
        <f>D131^2*G131/E131</f>
        <v>46257992.58895468</v>
      </c>
      <c r="K131" s="42">
        <f>F131*G131</f>
        <v>46196957.978446729</v>
      </c>
      <c r="L131" s="46">
        <f>K131^2/(E131-1)</f>
        <v>213415892646237.31</v>
      </c>
    </row>
    <row r="132" spans="1:12" x14ac:dyDescent="0.2">
      <c r="A132" s="33"/>
      <c r="B132" s="57" t="s">
        <v>61</v>
      </c>
      <c r="C132" s="47">
        <f>B$22</f>
        <v>559.93600000000004</v>
      </c>
      <c r="D132" s="40">
        <f t="shared" ref="D132:D134" si="14">C132/0.16</f>
        <v>3499.6000000000004</v>
      </c>
      <c r="E132" s="39">
        <v>7</v>
      </c>
      <c r="F132" s="40">
        <f>D132*(D132-E132)/E132</f>
        <v>1746100.4228571432</v>
      </c>
      <c r="G132" s="41">
        <f>_xlfn.VAR.S(G22:G28)</f>
        <v>1.2425238095237983</v>
      </c>
      <c r="H132" s="41">
        <f>AVERAGE(G22:G28)</f>
        <v>7.6428571428571432</v>
      </c>
      <c r="I132" s="41">
        <f>H132*D132</f>
        <v>26746.942857142862</v>
      </c>
      <c r="J132" s="42">
        <f>D132^2*G132/E132</f>
        <v>2173919.6855433821</v>
      </c>
      <c r="K132" s="42">
        <f t="shared" ref="K132:K134" si="15">F132*G132</f>
        <v>2169571.3492195727</v>
      </c>
      <c r="L132" s="46">
        <f t="shared" ref="L132:L134" si="16">K132^2/(E132-1)</f>
        <v>784506639892.40625</v>
      </c>
    </row>
    <row r="133" spans="1:12" x14ac:dyDescent="0.2">
      <c r="A133" s="33"/>
      <c r="B133" s="57" t="s">
        <v>65</v>
      </c>
      <c r="C133" s="47">
        <f>B$29</f>
        <v>552.92899999999997</v>
      </c>
      <c r="D133" s="40">
        <f t="shared" si="14"/>
        <v>3455.8062499999996</v>
      </c>
      <c r="E133" s="39">
        <v>6</v>
      </c>
      <c r="F133" s="40">
        <f>D133*(D133-E133)/E133</f>
        <v>1986977.0000065099</v>
      </c>
      <c r="G133" s="41">
        <f>_xlfn.VAR.S(G29:G34)</f>
        <v>4.9909866666666627</v>
      </c>
      <c r="H133" s="41">
        <f>AVERAGE(G29:G34)</f>
        <v>8.7133333333333329</v>
      </c>
      <c r="I133" s="41">
        <f>H133*D133</f>
        <v>30111.591791666662</v>
      </c>
      <c r="J133" s="42">
        <f>D133^2*G133/E133</f>
        <v>9934223.5969221499</v>
      </c>
      <c r="K133" s="42">
        <f t="shared" si="15"/>
        <v>9916975.7140058167</v>
      </c>
      <c r="L133" s="46">
        <f t="shared" si="16"/>
        <v>19669281462436.234</v>
      </c>
    </row>
    <row r="134" spans="1:12" x14ac:dyDescent="0.2">
      <c r="A134" s="33"/>
      <c r="B134" s="57" t="s">
        <v>75</v>
      </c>
      <c r="C134" s="47">
        <f>B$35</f>
        <v>753.23500000000001</v>
      </c>
      <c r="D134" s="40">
        <f t="shared" si="14"/>
        <v>4707.71875</v>
      </c>
      <c r="E134" s="39">
        <v>10</v>
      </c>
      <c r="F134" s="40">
        <f>D134*(D134-E134)/E134</f>
        <v>2211553.8641601563</v>
      </c>
      <c r="G134" s="41">
        <f>_xlfn.VAR.S(G35:G44)</f>
        <v>0.310161111111111</v>
      </c>
      <c r="H134" s="41">
        <f>AVERAGE(G35:G44)</f>
        <v>5.8849999999999998</v>
      </c>
      <c r="I134" s="41">
        <f>H134*D134</f>
        <v>27704.924843749999</v>
      </c>
      <c r="J134" s="42">
        <f>D134^2*G134/E134</f>
        <v>687398.15506828367</v>
      </c>
      <c r="K134" s="42">
        <f t="shared" si="15"/>
        <v>685938.00378998509</v>
      </c>
      <c r="L134" s="46">
        <f t="shared" si="16"/>
        <v>52278993893.709953</v>
      </c>
    </row>
    <row r="135" spans="1:12" x14ac:dyDescent="0.2">
      <c r="A135" s="33"/>
      <c r="B135" s="57"/>
      <c r="C135" s="48"/>
      <c r="D135" s="48"/>
      <c r="E135" s="48"/>
      <c r="F135" s="48"/>
      <c r="G135" s="48"/>
      <c r="H135" s="48"/>
      <c r="I135" s="48"/>
      <c r="J135" s="52"/>
      <c r="K135" s="48"/>
      <c r="L135" s="61"/>
    </row>
    <row r="136" spans="1:12" x14ac:dyDescent="0.2">
      <c r="A136" s="33"/>
      <c r="B136" s="57" t="s">
        <v>66</v>
      </c>
      <c r="C136" s="48"/>
      <c r="D136" s="47">
        <f>SUM(D131:D134)</f>
        <v>20000</v>
      </c>
      <c r="E136" s="47"/>
      <c r="F136" s="47"/>
      <c r="G136" s="47"/>
      <c r="H136" s="63">
        <f>I136/D136</f>
        <v>8.5872217530370669</v>
      </c>
      <c r="I136" s="64">
        <f t="shared" ref="I136:L136" si="17">SUM(I131:I134)</f>
        <v>171744.43506074135</v>
      </c>
      <c r="J136" s="65">
        <f t="shared" si="17"/>
        <v>59053534.026488498</v>
      </c>
      <c r="K136" s="65">
        <f t="shared" si="17"/>
        <v>58969443.045462109</v>
      </c>
      <c r="L136" s="66">
        <f t="shared" si="17"/>
        <v>233921959742459.66</v>
      </c>
    </row>
    <row r="137" spans="1:12" x14ac:dyDescent="0.2">
      <c r="A137" s="33"/>
      <c r="B137" s="57"/>
      <c r="C137" s="48"/>
      <c r="D137" s="48"/>
      <c r="E137" s="48"/>
      <c r="F137" s="48"/>
      <c r="G137" s="51" t="s">
        <v>76</v>
      </c>
      <c r="H137" s="58">
        <f>J136/D136^2</f>
        <v>0.14763383506622124</v>
      </c>
      <c r="I137" s="48"/>
      <c r="J137" s="48"/>
      <c r="K137" s="48"/>
      <c r="L137" s="61"/>
    </row>
    <row r="138" spans="1:12" x14ac:dyDescent="0.2">
      <c r="A138" s="33"/>
      <c r="B138" s="57"/>
      <c r="C138" s="48"/>
      <c r="D138" s="48"/>
      <c r="E138" s="48"/>
      <c r="F138" s="48"/>
      <c r="G138" s="51" t="s">
        <v>64</v>
      </c>
      <c r="H138" s="40">
        <f>_xlfn.FLOOR.MATH(K136^2/L136)</f>
        <v>14</v>
      </c>
      <c r="I138" s="48"/>
      <c r="J138" s="48"/>
      <c r="K138" s="48"/>
      <c r="L138" s="61"/>
    </row>
    <row r="139" spans="1:12" x14ac:dyDescent="0.2">
      <c r="A139" s="33"/>
      <c r="B139" s="57"/>
      <c r="C139" s="48"/>
      <c r="D139" s="48"/>
      <c r="E139" s="48"/>
      <c r="F139" s="48"/>
      <c r="G139" s="51" t="s">
        <v>57</v>
      </c>
      <c r="H139" s="41">
        <f>_xlfn.T.INV(0.975,(H138-1))</f>
        <v>2.1603686564627917</v>
      </c>
      <c r="I139" s="48"/>
      <c r="J139" s="48"/>
      <c r="K139" s="48"/>
      <c r="L139" s="61"/>
    </row>
    <row r="140" spans="1:12" x14ac:dyDescent="0.2">
      <c r="A140" s="33"/>
      <c r="B140" s="57"/>
      <c r="C140" s="48"/>
      <c r="D140" s="48"/>
      <c r="E140" s="48"/>
      <c r="F140" s="48"/>
      <c r="G140" s="51" t="s">
        <v>77</v>
      </c>
      <c r="H140" s="49">
        <f>H139*SQRT(H137)</f>
        <v>0.83008165983401383</v>
      </c>
      <c r="I140" s="48"/>
      <c r="J140" s="48"/>
      <c r="K140" s="48"/>
      <c r="L140" s="61"/>
    </row>
    <row r="141" spans="1:12" x14ac:dyDescent="0.2">
      <c r="A141" s="33"/>
      <c r="B141" s="57"/>
      <c r="C141" s="48"/>
      <c r="D141" s="48"/>
      <c r="E141" s="48"/>
      <c r="F141" s="48"/>
      <c r="G141" s="51" t="s">
        <v>78</v>
      </c>
      <c r="H141" s="41">
        <f>H140/H136*100</f>
        <v>9.6664751849506683</v>
      </c>
      <c r="I141" s="48"/>
      <c r="J141" s="48"/>
      <c r="K141" s="48"/>
      <c r="L141" s="61"/>
    </row>
    <row r="142" spans="1:12" x14ac:dyDescent="0.2">
      <c r="A142" s="33"/>
      <c r="B142" s="57"/>
      <c r="C142" s="48"/>
      <c r="D142" s="48"/>
      <c r="E142" s="48"/>
      <c r="F142" s="48"/>
      <c r="G142" s="48"/>
      <c r="H142" s="48"/>
      <c r="I142" s="48"/>
      <c r="J142" s="48"/>
      <c r="K142" s="48"/>
      <c r="L142" s="61"/>
    </row>
    <row r="143" spans="1:12" x14ac:dyDescent="0.2">
      <c r="A143" s="33"/>
      <c r="B143" s="59"/>
      <c r="C143" s="48"/>
      <c r="D143" s="39" t="s">
        <v>58</v>
      </c>
      <c r="E143" s="39" t="s">
        <v>79</v>
      </c>
      <c r="F143" s="39" t="s">
        <v>55</v>
      </c>
      <c r="G143" s="39" t="s">
        <v>67</v>
      </c>
      <c r="H143" s="39" t="s">
        <v>68</v>
      </c>
      <c r="I143" s="48"/>
      <c r="J143" s="48"/>
      <c r="K143" s="48"/>
      <c r="L143" s="61"/>
    </row>
    <row r="144" spans="1:12" x14ac:dyDescent="0.2">
      <c r="A144" s="33"/>
      <c r="B144" s="59"/>
      <c r="C144" s="48" t="s">
        <v>60</v>
      </c>
      <c r="D144" s="40">
        <f>D131</f>
        <v>8336.875</v>
      </c>
      <c r="E144" s="41">
        <f>D131/D$84</f>
        <v>0.41684375000000001</v>
      </c>
      <c r="F144" s="41">
        <f>SQRT(G131)/H131*100</f>
        <v>25.874264246041314</v>
      </c>
      <c r="G144" s="42">
        <f>D144^2*F144^2/E144</f>
        <v>111627013038.80637</v>
      </c>
      <c r="H144" s="42">
        <f>D144*F144^2</f>
        <v>5581350.6519403188</v>
      </c>
      <c r="I144" s="48"/>
      <c r="J144" s="48"/>
      <c r="K144" s="48"/>
      <c r="L144" s="61"/>
    </row>
    <row r="145" spans="1:17" x14ac:dyDescent="0.2">
      <c r="A145" s="33"/>
      <c r="B145" s="59"/>
      <c r="C145" s="48" t="s">
        <v>61</v>
      </c>
      <c r="D145" s="40">
        <f>D132</f>
        <v>3499.6000000000004</v>
      </c>
      <c r="E145" s="41">
        <f>D132/D$84</f>
        <v>0.17498000000000002</v>
      </c>
      <c r="F145" s="41">
        <f>SQRT(G132)/H132*100</f>
        <v>14.5846703611625</v>
      </c>
      <c r="G145" s="42">
        <f>D145^2*F145^2/E145</f>
        <v>14888180967.187683</v>
      </c>
      <c r="H145" s="42">
        <f>D145*F145^2</f>
        <v>744409.04835938418</v>
      </c>
      <c r="I145" s="48"/>
      <c r="J145" s="48"/>
      <c r="K145" s="48"/>
      <c r="L145" s="61"/>
    </row>
    <row r="146" spans="1:17" x14ac:dyDescent="0.2">
      <c r="A146" s="33"/>
      <c r="B146" s="59"/>
      <c r="C146" s="48" t="s">
        <v>65</v>
      </c>
      <c r="D146" s="40">
        <f>D133</f>
        <v>3455.8062499999996</v>
      </c>
      <c r="E146" s="41">
        <f>D133/D$84</f>
        <v>0.17279031249999999</v>
      </c>
      <c r="F146" s="41">
        <f>SQRT(G133)/H133*100</f>
        <v>25.639460127586123</v>
      </c>
      <c r="G146" s="42">
        <f>D146^2*F146^2/E146</f>
        <v>45435690653.70443</v>
      </c>
      <c r="H146" s="42">
        <f>D146*F146^2</f>
        <v>2271784.5326852212</v>
      </c>
      <c r="I146" s="48"/>
      <c r="J146" s="48"/>
      <c r="K146" s="48"/>
      <c r="L146" s="61"/>
    </row>
    <row r="147" spans="1:17" x14ac:dyDescent="0.2">
      <c r="A147" s="33"/>
      <c r="B147" s="59"/>
      <c r="C147" s="48" t="s">
        <v>75</v>
      </c>
      <c r="D147" s="40">
        <f>D134</f>
        <v>4707.71875</v>
      </c>
      <c r="E147" s="41">
        <f>D134/D$84</f>
        <v>0.2353859375</v>
      </c>
      <c r="F147" s="41">
        <f>SQRT(G134)/H134*100</f>
        <v>9.4634001620806352</v>
      </c>
      <c r="G147" s="42">
        <f>D147^2*F147^2/E147</f>
        <v>8432083805.643919</v>
      </c>
      <c r="H147" s="42">
        <f>D147*F147^2</f>
        <v>421604.19028219592</v>
      </c>
      <c r="I147" s="48"/>
      <c r="J147" s="48"/>
      <c r="K147" s="48"/>
      <c r="L147" s="61"/>
    </row>
    <row r="148" spans="1:17" x14ac:dyDescent="0.2">
      <c r="A148" s="33"/>
      <c r="B148" s="57"/>
      <c r="C148" s="48"/>
      <c r="D148" s="48"/>
      <c r="E148" s="48"/>
      <c r="F148" s="48"/>
      <c r="G148" s="48"/>
      <c r="H148" s="48"/>
      <c r="I148" s="48"/>
      <c r="J148" s="48"/>
      <c r="K148" s="48"/>
      <c r="L148" s="61"/>
    </row>
    <row r="149" spans="1:17" x14ac:dyDescent="0.2">
      <c r="A149" s="33"/>
      <c r="B149" s="59"/>
      <c r="C149" s="48"/>
      <c r="D149" s="48"/>
      <c r="E149" s="48"/>
      <c r="F149" s="43"/>
      <c r="G149" s="48"/>
      <c r="H149" s="48"/>
      <c r="I149" s="39" t="s">
        <v>59</v>
      </c>
      <c r="J149" s="39" t="s">
        <v>59</v>
      </c>
      <c r="K149" s="39" t="s">
        <v>59</v>
      </c>
      <c r="L149" s="71" t="s">
        <v>80</v>
      </c>
    </row>
    <row r="150" spans="1:17" x14ac:dyDescent="0.2">
      <c r="A150" s="33"/>
      <c r="B150" s="50"/>
      <c r="C150" s="51" t="s">
        <v>66</v>
      </c>
      <c r="D150" s="47">
        <f>SUM(D144:D147)</f>
        <v>20000</v>
      </c>
      <c r="E150" s="47">
        <f>SUM(E144:E147)</f>
        <v>1</v>
      </c>
      <c r="F150" s="43"/>
      <c r="G150" s="52">
        <f>SUM(G144:G147)</f>
        <v>180382968465.34241</v>
      </c>
      <c r="H150" s="52">
        <f>SUM(H144:H147)</f>
        <v>9019148.4232671186</v>
      </c>
      <c r="I150" s="67">
        <f>(G150/((D150^2*L150^2/I151^2)+H150))</f>
        <v>21.024926348279163</v>
      </c>
      <c r="J150" s="67">
        <f>(G150/((D150^2*L150^2/J151^2)+H150))</f>
        <v>19.603022715146064</v>
      </c>
      <c r="K150" s="73">
        <f>(G150/((D150^2*L150^2/K151^2)+H150))</f>
        <v>19.884899606642879</v>
      </c>
      <c r="L150" s="85">
        <v>10</v>
      </c>
    </row>
    <row r="151" spans="1:17" x14ac:dyDescent="0.2">
      <c r="A151" s="33"/>
      <c r="B151" s="59"/>
      <c r="C151" s="48"/>
      <c r="D151" s="48"/>
      <c r="E151" s="48"/>
      <c r="F151" s="43"/>
      <c r="G151" s="48"/>
      <c r="H151" s="48" t="s">
        <v>57</v>
      </c>
      <c r="I151" s="68">
        <f>_xlfn.T.INV(0.975,(H138-1))</f>
        <v>2.1603686564627917</v>
      </c>
      <c r="J151" s="68">
        <f>_xlfn.T.INV(0.975,(I150-1))</f>
        <v>2.0859634472658648</v>
      </c>
      <c r="K151" s="68">
        <f t="shared" ref="K151:K153" si="18">_xlfn.T.INV(0.975,(J150-1))</f>
        <v>2.1009220402410378</v>
      </c>
      <c r="L151" s="85"/>
    </row>
    <row r="152" spans="1:17" x14ac:dyDescent="0.2">
      <c r="A152" s="33"/>
      <c r="B152" s="59"/>
      <c r="C152" s="48"/>
      <c r="D152" s="48"/>
      <c r="E152" s="48"/>
      <c r="F152" s="43"/>
      <c r="G152" s="48"/>
      <c r="H152" s="52"/>
      <c r="I152" s="69">
        <f>(G150/((D150^2*L152^2/I153^2)+H150))</f>
        <v>83.835310708163021</v>
      </c>
      <c r="J152" s="69">
        <f>(G150/((D150^2*L152^2/J153^2)+H150))</f>
        <v>71.130663780567815</v>
      </c>
      <c r="K152" s="72">
        <f>(G150/((D150^2*L152^2/K153^2)+H150))</f>
        <v>71.495865603590815</v>
      </c>
      <c r="L152" s="86">
        <v>5</v>
      </c>
    </row>
    <row r="153" spans="1:17" x14ac:dyDescent="0.2">
      <c r="A153" s="33"/>
      <c r="B153" s="60"/>
      <c r="C153" s="62"/>
      <c r="D153" s="62"/>
      <c r="E153" s="62"/>
      <c r="F153" s="29"/>
      <c r="G153" s="62"/>
      <c r="H153" s="62" t="s">
        <v>57</v>
      </c>
      <c r="I153" s="70">
        <f>_xlfn.T.INV(0.975,(H138-1))</f>
        <v>2.1603686564627917</v>
      </c>
      <c r="J153" s="70">
        <f>_xlfn.T.INV(0.975,(I152-1))</f>
        <v>1.9893185571365706</v>
      </c>
      <c r="K153" s="70">
        <f t="shared" si="18"/>
        <v>1.9944371117711854</v>
      </c>
      <c r="L153" s="87"/>
    </row>
    <row r="154" spans="1:17" ht="14.25" x14ac:dyDescent="0.2">
      <c r="A154" s="33"/>
      <c r="B154" s="33"/>
      <c r="C154" s="37"/>
      <c r="D154" s="33"/>
      <c r="E154" s="33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</row>
    <row r="155" spans="1:17" ht="14.25" x14ac:dyDescent="0.2">
      <c r="A155" s="33"/>
      <c r="B155" s="33"/>
      <c r="C155" s="37"/>
      <c r="D155" s="33"/>
      <c r="E155" s="33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</row>
    <row r="156" spans="1:17" ht="14.25" x14ac:dyDescent="0.2">
      <c r="A156" s="33"/>
      <c r="B156" s="33"/>
      <c r="C156" s="37"/>
      <c r="D156" s="33"/>
      <c r="E156" s="33"/>
    </row>
    <row r="157" spans="1:17" ht="14.25" x14ac:dyDescent="0.2">
      <c r="A157" s="33"/>
      <c r="B157" s="33"/>
      <c r="C157" s="37"/>
      <c r="D157" s="33"/>
      <c r="E157" s="33"/>
    </row>
    <row r="158" spans="1:17" ht="14.25" x14ac:dyDescent="0.2">
      <c r="A158" s="33"/>
      <c r="B158" s="33"/>
      <c r="C158" s="37"/>
      <c r="D158" s="33"/>
      <c r="E158" s="33"/>
    </row>
    <row r="159" spans="1:17" x14ac:dyDescent="0.2">
      <c r="A159" s="33"/>
      <c r="B159" s="33"/>
      <c r="C159" s="33"/>
      <c r="D159" s="33"/>
      <c r="E159" s="33"/>
    </row>
    <row r="160" spans="1:17" x14ac:dyDescent="0.2">
      <c r="A160" s="33"/>
      <c r="B160" s="33"/>
      <c r="C160" s="33"/>
      <c r="D160" s="33"/>
      <c r="E160" s="33"/>
    </row>
    <row r="161" spans="1:5" ht="14.25" x14ac:dyDescent="0.2">
      <c r="A161" s="33"/>
      <c r="B161" s="33"/>
      <c r="C161" s="37"/>
      <c r="D161" s="33"/>
      <c r="E161" s="33"/>
    </row>
    <row r="162" spans="1:5" ht="14.25" x14ac:dyDescent="0.2">
      <c r="A162" s="33"/>
      <c r="B162" s="33"/>
      <c r="C162" s="37"/>
      <c r="D162" s="33"/>
      <c r="E162" s="33"/>
    </row>
    <row r="163" spans="1:5" ht="14.25" x14ac:dyDescent="0.2">
      <c r="A163" s="33"/>
      <c r="B163" s="33"/>
      <c r="C163" s="37"/>
      <c r="D163" s="33"/>
      <c r="E163" s="33"/>
    </row>
    <row r="164" spans="1:5" ht="14.25" x14ac:dyDescent="0.2">
      <c r="A164" s="33"/>
      <c r="B164" s="33"/>
      <c r="C164" s="37"/>
      <c r="D164" s="33"/>
      <c r="E164" s="33"/>
    </row>
    <row r="165" spans="1:5" ht="14.25" x14ac:dyDescent="0.2">
      <c r="A165" s="33"/>
      <c r="B165" s="33"/>
      <c r="C165" s="37"/>
      <c r="D165" s="33"/>
      <c r="E165" s="33"/>
    </row>
    <row r="166" spans="1:5" ht="14.25" x14ac:dyDescent="0.2">
      <c r="A166" s="33"/>
      <c r="B166" s="33"/>
      <c r="C166" s="37"/>
      <c r="D166" s="33"/>
      <c r="E166" s="33"/>
    </row>
    <row r="167" spans="1:5" ht="14.25" x14ac:dyDescent="0.2">
      <c r="A167" s="33"/>
      <c r="B167" s="33"/>
      <c r="C167" s="37"/>
      <c r="D167" s="33"/>
      <c r="E167" s="33"/>
    </row>
    <row r="168" spans="1:5" ht="14.25" x14ac:dyDescent="0.2">
      <c r="A168" s="33"/>
      <c r="B168" s="33"/>
      <c r="C168" s="37"/>
      <c r="D168" s="33"/>
      <c r="E168" s="33"/>
    </row>
    <row r="169" spans="1:5" ht="14.25" x14ac:dyDescent="0.2">
      <c r="A169" s="33"/>
      <c r="B169" s="33"/>
      <c r="C169" s="37"/>
      <c r="D169" s="33"/>
      <c r="E169" s="33"/>
    </row>
    <row r="170" spans="1:5" x14ac:dyDescent="0.2">
      <c r="A170" s="33"/>
      <c r="B170" s="33"/>
      <c r="C170" s="33"/>
      <c r="D170" s="33"/>
      <c r="E170" s="33"/>
    </row>
    <row r="171" spans="1:5" x14ac:dyDescent="0.2">
      <c r="A171" s="33"/>
      <c r="B171" s="33"/>
      <c r="C171" s="33"/>
      <c r="D171" s="33"/>
      <c r="E171" s="33"/>
    </row>
    <row r="172" spans="1:5" ht="14.25" x14ac:dyDescent="0.2">
      <c r="A172" s="33"/>
      <c r="B172" s="33"/>
      <c r="C172" s="37"/>
      <c r="D172" s="33"/>
      <c r="E172" s="33"/>
    </row>
    <row r="173" spans="1:5" ht="14.25" x14ac:dyDescent="0.2">
      <c r="A173" s="33"/>
      <c r="B173" s="33"/>
      <c r="C173" s="37"/>
      <c r="D173" s="33"/>
      <c r="E173" s="33"/>
    </row>
    <row r="174" spans="1:5" ht="14.25" x14ac:dyDescent="0.2">
      <c r="A174" s="33"/>
      <c r="B174" s="33"/>
      <c r="C174" s="37"/>
      <c r="D174" s="33"/>
      <c r="E174" s="33"/>
    </row>
    <row r="175" spans="1:5" ht="14.25" x14ac:dyDescent="0.2">
      <c r="A175" s="33"/>
      <c r="B175" s="33"/>
      <c r="C175" s="37"/>
      <c r="D175" s="33"/>
      <c r="E175" s="33"/>
    </row>
    <row r="176" spans="1:5" ht="14.25" x14ac:dyDescent="0.2">
      <c r="A176" s="33"/>
      <c r="B176" s="33"/>
      <c r="C176" s="37"/>
      <c r="D176" s="33"/>
      <c r="E176" s="33"/>
    </row>
    <row r="177" spans="1:5" ht="14.25" x14ac:dyDescent="0.2">
      <c r="A177" s="33"/>
      <c r="B177" s="33"/>
      <c r="C177" s="37"/>
      <c r="D177" s="33"/>
      <c r="E177" s="33"/>
    </row>
    <row r="178" spans="1:5" ht="14.25" x14ac:dyDescent="0.2">
      <c r="A178" s="33"/>
      <c r="B178" s="33"/>
      <c r="C178" s="37"/>
      <c r="D178" s="33"/>
      <c r="E178" s="33"/>
    </row>
    <row r="179" spans="1:5" ht="14.25" x14ac:dyDescent="0.2">
      <c r="A179" s="33"/>
      <c r="B179" s="33"/>
      <c r="C179" s="37"/>
      <c r="D179" s="33"/>
      <c r="E179" s="33"/>
    </row>
    <row r="180" spans="1:5" ht="14.25" x14ac:dyDescent="0.2">
      <c r="A180" s="33"/>
      <c r="B180" s="33"/>
      <c r="C180" s="37"/>
      <c r="D180" s="33"/>
      <c r="E180" s="33"/>
    </row>
    <row r="181" spans="1:5" x14ac:dyDescent="0.2">
      <c r="A181" s="33"/>
      <c r="B181" s="33"/>
      <c r="C181" s="33"/>
      <c r="D181" s="33"/>
      <c r="E181" s="33"/>
    </row>
    <row r="182" spans="1:5" x14ac:dyDescent="0.2">
      <c r="A182" s="33"/>
      <c r="B182" s="33"/>
      <c r="C182" s="33"/>
      <c r="D182" s="33"/>
      <c r="E182" s="33"/>
    </row>
    <row r="183" spans="1:5" ht="14.25" x14ac:dyDescent="0.2">
      <c r="A183" s="33"/>
      <c r="B183" s="33"/>
      <c r="C183" s="37"/>
      <c r="D183" s="33"/>
      <c r="E183" s="33"/>
    </row>
    <row r="184" spans="1:5" ht="14.25" x14ac:dyDescent="0.2">
      <c r="A184" s="33"/>
      <c r="B184" s="33"/>
      <c r="C184" s="37"/>
      <c r="D184" s="33"/>
      <c r="E184" s="33"/>
    </row>
    <row r="185" spans="1:5" ht="14.25" x14ac:dyDescent="0.2">
      <c r="A185" s="33"/>
      <c r="B185" s="33"/>
      <c r="C185" s="37"/>
      <c r="D185" s="33"/>
      <c r="E185" s="33"/>
    </row>
    <row r="186" spans="1:5" ht="14.25" x14ac:dyDescent="0.2">
      <c r="A186" s="33"/>
      <c r="B186" s="33"/>
      <c r="C186" s="37"/>
      <c r="D186" s="33"/>
      <c r="E186" s="33"/>
    </row>
    <row r="187" spans="1:5" ht="14.25" x14ac:dyDescent="0.2">
      <c r="A187" s="33"/>
      <c r="B187" s="33"/>
      <c r="C187" s="37"/>
      <c r="D187" s="33"/>
      <c r="E187" s="33"/>
    </row>
    <row r="188" spans="1:5" ht="14.25" x14ac:dyDescent="0.2">
      <c r="A188" s="33"/>
      <c r="B188" s="33"/>
      <c r="C188" s="37"/>
      <c r="D188" s="33"/>
      <c r="E188" s="33"/>
    </row>
    <row r="189" spans="1:5" ht="14.25" x14ac:dyDescent="0.2">
      <c r="A189" s="33"/>
      <c r="B189" s="33"/>
      <c r="C189" s="37"/>
      <c r="D189" s="33"/>
      <c r="E189" s="33"/>
    </row>
    <row r="190" spans="1:5" ht="14.25" x14ac:dyDescent="0.2">
      <c r="A190" s="33"/>
      <c r="B190" s="33"/>
      <c r="C190" s="37"/>
      <c r="D190" s="33"/>
      <c r="E190" s="33"/>
    </row>
    <row r="191" spans="1:5" ht="14.25" x14ac:dyDescent="0.2">
      <c r="A191" s="33"/>
      <c r="B191" s="33"/>
      <c r="C191" s="37"/>
      <c r="D191" s="33"/>
      <c r="E191" s="33"/>
    </row>
    <row r="192" spans="1:5" x14ac:dyDescent="0.2">
      <c r="A192" s="33"/>
      <c r="B192" s="33"/>
      <c r="C192" s="33"/>
      <c r="D192" s="33"/>
      <c r="E192" s="33"/>
    </row>
    <row r="193" spans="1:5" x14ac:dyDescent="0.2">
      <c r="A193" s="33"/>
      <c r="B193" s="33"/>
      <c r="C193" s="33"/>
      <c r="D193" s="33"/>
      <c r="E193" s="33"/>
    </row>
    <row r="194" spans="1:5" x14ac:dyDescent="0.2">
      <c r="A194" s="33"/>
      <c r="B194" s="33"/>
      <c r="C194" s="33"/>
      <c r="D194" s="33"/>
      <c r="E194" s="33"/>
    </row>
  </sheetData>
  <mergeCells count="26">
    <mergeCell ref="A3:G3"/>
    <mergeCell ref="H3:P3"/>
    <mergeCell ref="Q3:X3"/>
    <mergeCell ref="A4:G4"/>
    <mergeCell ref="H4:P4"/>
    <mergeCell ref="Q4:X4"/>
    <mergeCell ref="A50:G50"/>
    <mergeCell ref="A5:G5"/>
    <mergeCell ref="A6:G6"/>
    <mergeCell ref="A47:G47"/>
    <mergeCell ref="A48:G48"/>
    <mergeCell ref="A49:G49"/>
    <mergeCell ref="L124:L125"/>
    <mergeCell ref="L126:L127"/>
    <mergeCell ref="L150:L151"/>
    <mergeCell ref="L152:L153"/>
    <mergeCell ref="T1:W1"/>
    <mergeCell ref="L72:L73"/>
    <mergeCell ref="L74:L75"/>
    <mergeCell ref="L98:L99"/>
    <mergeCell ref="L100:L101"/>
    <mergeCell ref="B51:L51"/>
    <mergeCell ref="B77:L77"/>
    <mergeCell ref="B103:L103"/>
    <mergeCell ref="B129:L129"/>
    <mergeCell ref="H50:P50"/>
  </mergeCells>
  <pageMargins left="0.67986111111111103" right="9.9305555555555605E-2" top="0.87361111111111101" bottom="0.62222222222222201" header="0.33055555555555599" footer="0.35694444444444401"/>
  <pageSetup paperSize="9" orientation="portrait" useFirstPageNumber="1" horizontalDpi="300" verticalDpi="300" r:id="rId1"/>
  <headerFooter>
    <oddHeader>&amp;C&amp;"Times New Roman,Regular"&amp;16LCF0510 inventario Florestal - 2021
Aula 09 - Exercicios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2D32-6A45-4FA6-8F9A-08D7460DD67C}">
  <dimension ref="A1:Q69"/>
  <sheetViews>
    <sheetView workbookViewId="0">
      <selection activeCell="G15" sqref="G15"/>
    </sheetView>
  </sheetViews>
  <sheetFormatPr defaultRowHeight="12" x14ac:dyDescent="0.2"/>
  <cols>
    <col min="1" max="1" width="9.140625" style="30"/>
    <col min="2" max="2" width="14.140625" style="30" bestFit="1" customWidth="1"/>
    <col min="3" max="4" width="9.140625" style="30"/>
    <col min="5" max="5" width="10" style="30" customWidth="1"/>
    <col min="6" max="7" width="9.140625" style="30"/>
    <col min="8" max="8" width="13.140625" style="30" bestFit="1" customWidth="1"/>
    <col min="9" max="16384" width="9.140625" style="30"/>
  </cols>
  <sheetData>
    <row r="1" spans="1:17" s="74" customFormat="1" ht="25.5" customHeight="1" x14ac:dyDescent="0.2">
      <c r="B1" s="74" t="s">
        <v>69</v>
      </c>
      <c r="C1" s="75" t="s">
        <v>18</v>
      </c>
      <c r="D1" s="76" t="s">
        <v>13</v>
      </c>
      <c r="E1" s="77" t="s">
        <v>81</v>
      </c>
    </row>
    <row r="2" spans="1:17" x14ac:dyDescent="0.2">
      <c r="A2" s="108" t="s">
        <v>60</v>
      </c>
      <c r="B2" s="109">
        <f>SUM('I e II'!K12:K16,'I e II'!K18)</f>
        <v>244.82</v>
      </c>
      <c r="C2" s="78">
        <v>15</v>
      </c>
      <c r="D2" s="79">
        <v>320</v>
      </c>
      <c r="E2" s="80">
        <v>342</v>
      </c>
      <c r="G2" s="55"/>
      <c r="H2" s="56" t="s">
        <v>69</v>
      </c>
      <c r="I2" s="54" t="s">
        <v>58</v>
      </c>
      <c r="J2" s="54" t="s">
        <v>56</v>
      </c>
      <c r="K2" s="54" t="s">
        <v>70</v>
      </c>
      <c r="L2" s="54" t="s">
        <v>71</v>
      </c>
      <c r="M2" s="54" t="s">
        <v>72</v>
      </c>
      <c r="N2" s="54" t="s">
        <v>73</v>
      </c>
      <c r="O2" s="54" t="s">
        <v>74</v>
      </c>
      <c r="P2" s="44" t="s">
        <v>62</v>
      </c>
      <c r="Q2" s="45" t="s">
        <v>63</v>
      </c>
    </row>
    <row r="3" spans="1:17" x14ac:dyDescent="0.2">
      <c r="C3" s="81"/>
      <c r="D3" s="35">
        <v>325</v>
      </c>
      <c r="E3" s="82">
        <v>322</v>
      </c>
      <c r="G3" s="57" t="s">
        <v>60</v>
      </c>
      <c r="H3" s="41">
        <f>B$2</f>
        <v>244.82</v>
      </c>
      <c r="I3" s="40">
        <f>H3/0.054</f>
        <v>4533.7037037037035</v>
      </c>
      <c r="J3" s="39">
        <f>COUNT(D2:D30)</f>
        <v>29</v>
      </c>
      <c r="K3" s="40">
        <f>I3*(I3-J3)/J3</f>
        <v>704241.09881273354</v>
      </c>
      <c r="L3" s="41">
        <f>_xlfn.VAR.S(D2:D30)</f>
        <v>2772.0197044334905</v>
      </c>
      <c r="M3" s="41">
        <f>AVERAGE(D2:D30)</f>
        <v>325.65517241379308</v>
      </c>
      <c r="N3" s="42">
        <f>M3*I3</f>
        <v>1476424.0613026819</v>
      </c>
      <c r="O3" s="42">
        <f>I3^2*L3/J3</f>
        <v>1964737718.5815198</v>
      </c>
      <c r="P3" s="42">
        <f>K3*L3</f>
        <v>1952170202.5807903</v>
      </c>
      <c r="Q3" s="46">
        <f>P3^2/(J3-1)</f>
        <v>1.3610601785158299E+17</v>
      </c>
    </row>
    <row r="4" spans="1:17" x14ac:dyDescent="0.2">
      <c r="C4" s="83"/>
      <c r="D4" s="36">
        <v>327</v>
      </c>
      <c r="E4" s="84">
        <v>341</v>
      </c>
      <c r="G4" s="57" t="s">
        <v>61</v>
      </c>
      <c r="H4" s="58">
        <f>B$31</f>
        <v>320.96999999999997</v>
      </c>
      <c r="I4" s="40">
        <f>H4/0.054</f>
        <v>5943.8888888888887</v>
      </c>
      <c r="J4" s="39">
        <f>COUNT(D31:D69)</f>
        <v>39</v>
      </c>
      <c r="K4" s="40">
        <f>I4*(I4-J4)/J4</f>
        <v>899948.80658436206</v>
      </c>
      <c r="L4" s="41">
        <f>_xlfn.VAR.S(D31:D69)</f>
        <v>6920.5506072874477</v>
      </c>
      <c r="M4" s="41">
        <f>AVERAGE(D31:D69)</f>
        <v>211.23076923076923</v>
      </c>
      <c r="N4" s="42">
        <f>M4*I4</f>
        <v>1255532.2222222222</v>
      </c>
      <c r="O4" s="42">
        <f>I4^2*L4/J4</f>
        <v>6269276243.7946711</v>
      </c>
      <c r="P4" s="42">
        <f t="shared" ref="P4" si="0">K4*L4</f>
        <v>6228141259.9350204</v>
      </c>
      <c r="Q4" s="46">
        <f t="shared" ref="Q4" si="1">P4^2/(J4-1)</f>
        <v>1.0207827250974996E+18</v>
      </c>
    </row>
    <row r="5" spans="1:17" x14ac:dyDescent="0.2">
      <c r="C5" s="81">
        <v>16</v>
      </c>
      <c r="D5" s="35">
        <v>329</v>
      </c>
      <c r="E5" s="82">
        <v>325</v>
      </c>
      <c r="G5" s="57"/>
      <c r="H5" s="47"/>
      <c r="I5" s="40"/>
      <c r="J5" s="39"/>
      <c r="K5" s="40"/>
      <c r="L5" s="41"/>
      <c r="M5" s="41"/>
      <c r="N5" s="41"/>
      <c r="O5" s="42"/>
      <c r="P5" s="42"/>
      <c r="Q5" s="46"/>
    </row>
    <row r="6" spans="1:17" x14ac:dyDescent="0.2">
      <c r="C6" s="81"/>
      <c r="D6" s="35">
        <v>333</v>
      </c>
      <c r="E6" s="82">
        <v>320</v>
      </c>
      <c r="G6" s="57" t="s">
        <v>66</v>
      </c>
      <c r="H6" s="48"/>
      <c r="I6" s="47">
        <f>SUM(I3:I5)</f>
        <v>10477.592592592591</v>
      </c>
      <c r="J6" s="47"/>
      <c r="K6" s="47"/>
      <c r="L6" s="47"/>
      <c r="M6" s="63">
        <f>N6/I6</f>
        <v>260.74274785758826</v>
      </c>
      <c r="N6" s="64">
        <f>SUM(N3:N4)</f>
        <v>2731956.2835249044</v>
      </c>
      <c r="O6" s="65">
        <f>SUM(O3:O4)</f>
        <v>8234013962.3761911</v>
      </c>
      <c r="P6" s="65">
        <f>SUM(P3:P4)</f>
        <v>8180311462.515811</v>
      </c>
      <c r="Q6" s="66">
        <f>SUM(Q3:Q4)</f>
        <v>1.1568887429490826E+18</v>
      </c>
    </row>
    <row r="7" spans="1:17" x14ac:dyDescent="0.2">
      <c r="C7" s="81"/>
      <c r="D7" s="35">
        <v>336</v>
      </c>
      <c r="E7" s="82">
        <v>306</v>
      </c>
      <c r="G7" s="57"/>
      <c r="H7" s="48"/>
      <c r="I7" s="48"/>
      <c r="J7" s="48"/>
      <c r="K7" s="48"/>
      <c r="L7" s="51" t="s">
        <v>76</v>
      </c>
      <c r="M7" s="58">
        <f>O6/I6^2</f>
        <v>75.004718276572348</v>
      </c>
      <c r="N7" s="48"/>
      <c r="O7" s="48"/>
      <c r="P7" s="48"/>
      <c r="Q7" s="61"/>
    </row>
    <row r="8" spans="1:17" x14ac:dyDescent="0.2">
      <c r="C8" s="83"/>
      <c r="D8" s="36">
        <v>337</v>
      </c>
      <c r="E8" s="84">
        <v>324</v>
      </c>
      <c r="G8" s="57"/>
      <c r="H8" s="48"/>
      <c r="I8" s="48"/>
      <c r="J8" s="48"/>
      <c r="K8" s="48"/>
      <c r="L8" s="51" t="s">
        <v>64</v>
      </c>
      <c r="M8" s="40">
        <f>_xlfn.FLOOR.MATH(P6^2/Q6)</f>
        <v>57</v>
      </c>
      <c r="N8" s="48"/>
      <c r="O8" s="48"/>
      <c r="P8" s="48"/>
      <c r="Q8" s="61"/>
    </row>
    <row r="9" spans="1:17" x14ac:dyDescent="0.2">
      <c r="C9" s="81">
        <v>17</v>
      </c>
      <c r="D9" s="35">
        <v>331</v>
      </c>
      <c r="E9" s="82">
        <v>317</v>
      </c>
      <c r="G9" s="57"/>
      <c r="H9" s="48"/>
      <c r="I9" s="48"/>
      <c r="J9" s="48"/>
      <c r="K9" s="48"/>
      <c r="L9" s="51" t="s">
        <v>57</v>
      </c>
      <c r="M9" s="41">
        <v>2</v>
      </c>
      <c r="N9" s="48"/>
      <c r="O9" s="48"/>
      <c r="P9" s="48"/>
      <c r="Q9" s="61"/>
    </row>
    <row r="10" spans="1:17" x14ac:dyDescent="0.2">
      <c r="C10" s="81"/>
      <c r="D10" s="35">
        <v>332</v>
      </c>
      <c r="E10" s="82">
        <v>342</v>
      </c>
      <c r="G10" s="57"/>
      <c r="H10" s="48"/>
      <c r="I10" s="48"/>
      <c r="J10" s="48"/>
      <c r="K10" s="48"/>
      <c r="L10" s="51" t="s">
        <v>77</v>
      </c>
      <c r="M10" s="49">
        <f>M9*SQRT(M7)</f>
        <v>17.321052886770175</v>
      </c>
      <c r="N10" s="48"/>
      <c r="O10" s="48"/>
      <c r="P10" s="48"/>
      <c r="Q10" s="61"/>
    </row>
    <row r="11" spans="1:17" x14ac:dyDescent="0.2">
      <c r="C11" s="81"/>
      <c r="D11" s="35">
        <v>334</v>
      </c>
      <c r="E11" s="82">
        <v>313</v>
      </c>
      <c r="G11" s="95"/>
      <c r="H11" s="62"/>
      <c r="I11" s="62"/>
      <c r="J11" s="62"/>
      <c r="K11" s="62"/>
      <c r="L11" s="96" t="s">
        <v>78</v>
      </c>
      <c r="M11" s="97">
        <f>M10/M6*100</f>
        <v>6.6429663064801856</v>
      </c>
      <c r="N11" s="62"/>
      <c r="O11" s="62"/>
      <c r="P11" s="62"/>
      <c r="Q11" s="98"/>
    </row>
    <row r="12" spans="1:17" x14ac:dyDescent="0.2">
      <c r="C12" s="81"/>
      <c r="D12" s="35">
        <v>335</v>
      </c>
      <c r="E12" s="82">
        <v>369</v>
      </c>
      <c r="G12" s="99"/>
      <c r="H12" s="93"/>
      <c r="I12" s="93"/>
      <c r="J12" s="93"/>
      <c r="K12" s="93"/>
      <c r="L12" s="93"/>
      <c r="M12" s="93"/>
      <c r="N12" s="93"/>
      <c r="O12" s="93"/>
      <c r="P12" s="93"/>
      <c r="Q12" s="93"/>
    </row>
    <row r="13" spans="1:17" x14ac:dyDescent="0.2">
      <c r="C13" s="83"/>
      <c r="D13" s="36">
        <v>339</v>
      </c>
      <c r="E13" s="84">
        <v>300</v>
      </c>
      <c r="G13" s="34"/>
      <c r="H13" s="93"/>
      <c r="I13" s="100"/>
      <c r="J13" s="100"/>
      <c r="K13" s="100"/>
      <c r="L13" s="100"/>
      <c r="M13" s="100"/>
      <c r="N13" s="93"/>
      <c r="O13" s="93"/>
      <c r="P13" s="93"/>
      <c r="Q13" s="93"/>
    </row>
    <row r="14" spans="1:17" x14ac:dyDescent="0.2">
      <c r="C14" s="81">
        <v>18</v>
      </c>
      <c r="D14" s="53">
        <v>338</v>
      </c>
      <c r="E14" s="82">
        <v>242</v>
      </c>
      <c r="G14" s="34"/>
      <c r="H14" s="93"/>
      <c r="I14" s="101"/>
      <c r="J14" s="102"/>
      <c r="K14" s="102"/>
      <c r="L14" s="103"/>
      <c r="M14" s="103"/>
      <c r="N14" s="93"/>
      <c r="O14" s="93"/>
      <c r="P14" s="93"/>
      <c r="Q14" s="93"/>
    </row>
    <row r="15" spans="1:17" x14ac:dyDescent="0.2">
      <c r="C15" s="81"/>
      <c r="D15" s="53">
        <v>340</v>
      </c>
      <c r="E15" s="82">
        <v>349</v>
      </c>
      <c r="G15" s="34"/>
      <c r="H15" s="93"/>
      <c r="I15" s="101"/>
      <c r="J15" s="102"/>
      <c r="K15" s="102"/>
      <c r="L15" s="103"/>
      <c r="M15" s="103"/>
      <c r="N15" s="93"/>
      <c r="O15" s="93"/>
      <c r="P15" s="93"/>
      <c r="Q15" s="93"/>
    </row>
    <row r="16" spans="1:17" x14ac:dyDescent="0.2">
      <c r="C16" s="81"/>
      <c r="D16" s="35">
        <v>342</v>
      </c>
      <c r="E16" s="82">
        <v>345</v>
      </c>
      <c r="G16" s="104"/>
      <c r="H16" s="93"/>
      <c r="I16" s="93"/>
      <c r="J16" s="93"/>
      <c r="K16" s="93"/>
      <c r="L16" s="93"/>
      <c r="M16" s="93"/>
      <c r="N16" s="93"/>
      <c r="O16" s="93"/>
      <c r="P16" s="93"/>
      <c r="Q16" s="93"/>
    </row>
    <row r="17" spans="1:17" ht="12.75" x14ac:dyDescent="0.2">
      <c r="C17" s="81"/>
      <c r="D17" s="35">
        <v>343</v>
      </c>
      <c r="E17" s="82">
        <v>281</v>
      </c>
      <c r="G17" s="34"/>
      <c r="H17" s="93"/>
      <c r="I17" s="93"/>
      <c r="J17" s="93"/>
      <c r="K17" s="33"/>
      <c r="L17" s="93"/>
      <c r="M17" s="93"/>
      <c r="N17" s="100"/>
      <c r="O17" s="100"/>
      <c r="P17" s="100"/>
      <c r="Q17" s="100"/>
    </row>
    <row r="18" spans="1:17" ht="12.75" x14ac:dyDescent="0.2">
      <c r="C18" s="81"/>
      <c r="D18" s="53">
        <v>347</v>
      </c>
      <c r="E18" s="82">
        <v>325</v>
      </c>
      <c r="G18" s="34"/>
      <c r="H18" s="99"/>
      <c r="I18" s="105"/>
      <c r="J18" s="105"/>
      <c r="K18" s="33"/>
      <c r="L18" s="106"/>
      <c r="M18" s="106"/>
      <c r="N18" s="101"/>
      <c r="O18" s="101"/>
      <c r="P18" s="101"/>
      <c r="Q18" s="101"/>
    </row>
    <row r="19" spans="1:17" ht="12.75" x14ac:dyDescent="0.2">
      <c r="C19" s="83"/>
      <c r="D19" s="36">
        <v>348</v>
      </c>
      <c r="E19" s="84">
        <v>296</v>
      </c>
      <c r="G19" s="34"/>
      <c r="H19" s="93"/>
      <c r="I19" s="93"/>
      <c r="J19" s="93"/>
      <c r="K19" s="33"/>
      <c r="L19" s="93"/>
      <c r="M19" s="93"/>
      <c r="N19" s="102"/>
      <c r="O19" s="102"/>
      <c r="P19" s="102"/>
      <c r="Q19" s="101"/>
    </row>
    <row r="20" spans="1:17" ht="12.75" x14ac:dyDescent="0.2">
      <c r="C20" s="81">
        <v>19</v>
      </c>
      <c r="D20" s="35">
        <v>341</v>
      </c>
      <c r="E20" s="82">
        <v>319</v>
      </c>
      <c r="G20" s="34"/>
      <c r="H20" s="93"/>
      <c r="I20" s="93"/>
      <c r="J20" s="93"/>
      <c r="K20" s="33"/>
      <c r="L20" s="93"/>
      <c r="M20" s="106"/>
      <c r="N20" s="101"/>
      <c r="O20" s="101"/>
      <c r="P20" s="101"/>
      <c r="Q20" s="107"/>
    </row>
    <row r="21" spans="1:17" ht="12.75" x14ac:dyDescent="0.2">
      <c r="C21" s="81"/>
      <c r="D21" s="35">
        <v>344</v>
      </c>
      <c r="E21" s="82">
        <v>320</v>
      </c>
      <c r="G21" s="34"/>
      <c r="H21" s="93"/>
      <c r="I21" s="93"/>
      <c r="J21" s="93"/>
      <c r="K21" s="33"/>
      <c r="L21" s="93"/>
      <c r="M21" s="93"/>
      <c r="N21" s="102"/>
      <c r="O21" s="102"/>
      <c r="P21" s="102"/>
      <c r="Q21" s="107"/>
    </row>
    <row r="22" spans="1:17" x14ac:dyDescent="0.2">
      <c r="C22" s="81"/>
      <c r="D22" s="35">
        <v>345</v>
      </c>
      <c r="E22" s="82">
        <v>268</v>
      </c>
    </row>
    <row r="23" spans="1:17" x14ac:dyDescent="0.2">
      <c r="C23" s="81"/>
      <c r="D23" s="35">
        <v>346</v>
      </c>
      <c r="E23" s="82">
        <v>254</v>
      </c>
    </row>
    <row r="24" spans="1:17" x14ac:dyDescent="0.2">
      <c r="C24" s="81"/>
      <c r="D24" s="35">
        <v>349</v>
      </c>
      <c r="E24" s="82">
        <v>362</v>
      </c>
    </row>
    <row r="25" spans="1:17" x14ac:dyDescent="0.2">
      <c r="C25" s="81"/>
      <c r="D25" s="35">
        <v>351</v>
      </c>
      <c r="E25" s="82">
        <v>335</v>
      </c>
    </row>
    <row r="26" spans="1:17" x14ac:dyDescent="0.2">
      <c r="C26" s="83"/>
      <c r="D26" s="36">
        <v>352</v>
      </c>
      <c r="E26" s="84">
        <v>297</v>
      </c>
    </row>
    <row r="27" spans="1:17" x14ac:dyDescent="0.2">
      <c r="C27" s="81">
        <v>27</v>
      </c>
      <c r="D27" s="53">
        <v>103</v>
      </c>
      <c r="E27" s="82">
        <v>390</v>
      </c>
    </row>
    <row r="28" spans="1:17" x14ac:dyDescent="0.2">
      <c r="C28" s="81"/>
      <c r="D28" s="35">
        <v>188</v>
      </c>
      <c r="E28" s="82">
        <v>387</v>
      </c>
    </row>
    <row r="29" spans="1:17" x14ac:dyDescent="0.2">
      <c r="C29" s="81"/>
      <c r="D29" s="53">
        <v>309</v>
      </c>
      <c r="E29" s="82">
        <v>384</v>
      </c>
    </row>
    <row r="30" spans="1:17" x14ac:dyDescent="0.2">
      <c r="C30" s="83"/>
      <c r="D30" s="36">
        <v>380</v>
      </c>
      <c r="E30" s="84">
        <v>364</v>
      </c>
    </row>
    <row r="31" spans="1:17" x14ac:dyDescent="0.2">
      <c r="A31" s="108" t="s">
        <v>61</v>
      </c>
      <c r="B31" s="109">
        <f>SUM('I e II'!K9:K11,'I e II'!K17,'I e II'!K19:K23)</f>
        <v>320.96999999999997</v>
      </c>
      <c r="C31" s="81">
        <v>11</v>
      </c>
      <c r="D31" s="35">
        <v>312</v>
      </c>
      <c r="E31" s="82">
        <v>179</v>
      </c>
    </row>
    <row r="32" spans="1:17" x14ac:dyDescent="0.2">
      <c r="C32" s="83"/>
      <c r="D32" s="36">
        <v>328</v>
      </c>
      <c r="E32" s="84">
        <v>160</v>
      </c>
    </row>
    <row r="33" spans="3:5" x14ac:dyDescent="0.2">
      <c r="C33" s="83">
        <v>12</v>
      </c>
      <c r="D33" s="36">
        <v>322</v>
      </c>
      <c r="E33" s="84">
        <v>178</v>
      </c>
    </row>
    <row r="34" spans="3:5" x14ac:dyDescent="0.2">
      <c r="C34" s="81">
        <v>13</v>
      </c>
      <c r="D34" s="35">
        <v>310</v>
      </c>
      <c r="E34" s="82">
        <v>159</v>
      </c>
    </row>
    <row r="35" spans="3:5" x14ac:dyDescent="0.2">
      <c r="C35" s="81"/>
      <c r="D35" s="35">
        <v>313</v>
      </c>
      <c r="E35" s="82">
        <v>167</v>
      </c>
    </row>
    <row r="36" spans="3:5" x14ac:dyDescent="0.2">
      <c r="C36" s="81"/>
      <c r="D36" s="35">
        <v>314</v>
      </c>
      <c r="E36" s="82">
        <v>163</v>
      </c>
    </row>
    <row r="37" spans="3:5" x14ac:dyDescent="0.2">
      <c r="C37" s="83"/>
      <c r="D37" s="36">
        <v>315</v>
      </c>
      <c r="E37" s="84">
        <v>174</v>
      </c>
    </row>
    <row r="38" spans="3:5" x14ac:dyDescent="0.2">
      <c r="C38" s="81">
        <v>26</v>
      </c>
      <c r="D38" s="35">
        <v>170</v>
      </c>
      <c r="E38" s="82">
        <v>167</v>
      </c>
    </row>
    <row r="39" spans="3:5" x14ac:dyDescent="0.2">
      <c r="C39" s="81"/>
      <c r="D39" s="35">
        <v>176</v>
      </c>
      <c r="E39" s="82">
        <v>174</v>
      </c>
    </row>
    <row r="40" spans="3:5" x14ac:dyDescent="0.2">
      <c r="C40" s="81"/>
      <c r="D40" s="35">
        <v>178</v>
      </c>
      <c r="E40" s="82">
        <v>167</v>
      </c>
    </row>
    <row r="41" spans="3:5" x14ac:dyDescent="0.2">
      <c r="C41" s="83"/>
      <c r="D41" s="36">
        <v>181</v>
      </c>
      <c r="E41" s="84">
        <v>165</v>
      </c>
    </row>
    <row r="42" spans="3:5" x14ac:dyDescent="0.2">
      <c r="C42" s="81">
        <v>28</v>
      </c>
      <c r="D42" s="35">
        <v>106</v>
      </c>
      <c r="E42" s="82">
        <v>189</v>
      </c>
    </row>
    <row r="43" spans="3:5" x14ac:dyDescent="0.2">
      <c r="C43" s="81"/>
      <c r="D43" s="35">
        <v>113</v>
      </c>
      <c r="E43" s="82">
        <v>165</v>
      </c>
    </row>
    <row r="44" spans="3:5" x14ac:dyDescent="0.2">
      <c r="C44" s="81"/>
      <c r="D44" s="53">
        <v>138</v>
      </c>
      <c r="E44" s="82">
        <v>171</v>
      </c>
    </row>
    <row r="45" spans="3:5" x14ac:dyDescent="0.2">
      <c r="C45" s="81"/>
      <c r="D45" s="35">
        <v>145</v>
      </c>
      <c r="E45" s="82">
        <v>159</v>
      </c>
    </row>
    <row r="46" spans="3:5" x14ac:dyDescent="0.2">
      <c r="C46" s="81"/>
      <c r="D46" s="35">
        <v>209</v>
      </c>
      <c r="E46" s="82">
        <v>168</v>
      </c>
    </row>
    <row r="47" spans="3:5" x14ac:dyDescent="0.2">
      <c r="C47" s="83"/>
      <c r="D47" s="36">
        <v>311</v>
      </c>
      <c r="E47" s="84">
        <v>142</v>
      </c>
    </row>
    <row r="48" spans="3:5" x14ac:dyDescent="0.2">
      <c r="C48" s="81">
        <v>29</v>
      </c>
      <c r="D48" s="35">
        <v>112</v>
      </c>
      <c r="E48" s="82">
        <v>173</v>
      </c>
    </row>
    <row r="49" spans="3:5" x14ac:dyDescent="0.2">
      <c r="C49" s="81"/>
      <c r="D49" s="35">
        <v>115</v>
      </c>
      <c r="E49" s="82">
        <v>171</v>
      </c>
    </row>
    <row r="50" spans="3:5" x14ac:dyDescent="0.2">
      <c r="C50" s="81"/>
      <c r="D50" s="35">
        <v>118</v>
      </c>
      <c r="E50" s="82">
        <v>176</v>
      </c>
    </row>
    <row r="51" spans="3:5" x14ac:dyDescent="0.2">
      <c r="C51" s="81"/>
      <c r="D51" s="53">
        <v>121</v>
      </c>
      <c r="E51" s="82">
        <v>178</v>
      </c>
    </row>
    <row r="52" spans="3:5" x14ac:dyDescent="0.2">
      <c r="C52" s="81"/>
      <c r="D52" s="35">
        <v>123</v>
      </c>
      <c r="E52" s="82">
        <v>187</v>
      </c>
    </row>
    <row r="53" spans="3:5" x14ac:dyDescent="0.2">
      <c r="C53" s="81"/>
      <c r="D53" s="35">
        <v>125</v>
      </c>
      <c r="E53" s="82">
        <v>185</v>
      </c>
    </row>
    <row r="54" spans="3:5" x14ac:dyDescent="0.2">
      <c r="C54" s="81"/>
      <c r="D54" s="53">
        <v>231</v>
      </c>
      <c r="E54" s="82">
        <v>185</v>
      </c>
    </row>
    <row r="55" spans="3:5" x14ac:dyDescent="0.2">
      <c r="C55" s="81"/>
      <c r="D55" s="53">
        <v>300</v>
      </c>
      <c r="E55" s="82">
        <v>127</v>
      </c>
    </row>
    <row r="56" spans="3:5" x14ac:dyDescent="0.2">
      <c r="C56" s="81"/>
      <c r="D56" s="35">
        <v>301</v>
      </c>
      <c r="E56" s="82">
        <v>180</v>
      </c>
    </row>
    <row r="57" spans="3:5" x14ac:dyDescent="0.2">
      <c r="C57" s="83"/>
      <c r="D57" s="36">
        <v>302</v>
      </c>
      <c r="E57" s="84">
        <v>188</v>
      </c>
    </row>
    <row r="58" spans="3:5" x14ac:dyDescent="0.2">
      <c r="C58" s="81">
        <v>30</v>
      </c>
      <c r="D58" s="35">
        <v>136</v>
      </c>
      <c r="E58" s="82">
        <v>125</v>
      </c>
    </row>
    <row r="59" spans="3:5" x14ac:dyDescent="0.2">
      <c r="C59" s="81"/>
      <c r="D59" s="53">
        <v>141</v>
      </c>
      <c r="E59" s="82">
        <v>127</v>
      </c>
    </row>
    <row r="60" spans="3:5" x14ac:dyDescent="0.2">
      <c r="C60" s="81"/>
      <c r="D60" s="35">
        <v>149</v>
      </c>
      <c r="E60" s="82">
        <v>147</v>
      </c>
    </row>
    <row r="61" spans="3:5" x14ac:dyDescent="0.2">
      <c r="C61" s="81"/>
      <c r="D61" s="35">
        <v>151</v>
      </c>
      <c r="E61" s="82">
        <v>137</v>
      </c>
    </row>
    <row r="62" spans="3:5" x14ac:dyDescent="0.2">
      <c r="C62" s="81"/>
      <c r="D62" s="53">
        <v>305</v>
      </c>
      <c r="E62" s="82">
        <v>134</v>
      </c>
    </row>
    <row r="63" spans="3:5" x14ac:dyDescent="0.2">
      <c r="C63" s="83"/>
      <c r="D63" s="36">
        <v>306</v>
      </c>
      <c r="E63" s="84">
        <v>129</v>
      </c>
    </row>
    <row r="64" spans="3:5" x14ac:dyDescent="0.2">
      <c r="C64" s="81">
        <v>31</v>
      </c>
      <c r="D64" s="35">
        <v>156</v>
      </c>
      <c r="E64" s="82">
        <v>127</v>
      </c>
    </row>
    <row r="65" spans="3:5" x14ac:dyDescent="0.2">
      <c r="C65" s="81"/>
      <c r="D65" s="35">
        <v>160</v>
      </c>
      <c r="E65" s="82">
        <v>135</v>
      </c>
    </row>
    <row r="66" spans="3:5" x14ac:dyDescent="0.2">
      <c r="C66" s="81"/>
      <c r="D66" s="53">
        <v>307</v>
      </c>
      <c r="E66" s="82">
        <v>139</v>
      </c>
    </row>
    <row r="67" spans="3:5" x14ac:dyDescent="0.2">
      <c r="C67" s="83"/>
      <c r="D67" s="36">
        <v>308</v>
      </c>
      <c r="E67" s="84">
        <v>127</v>
      </c>
    </row>
    <row r="68" spans="3:5" x14ac:dyDescent="0.2">
      <c r="C68" s="81">
        <v>32</v>
      </c>
      <c r="D68" s="53">
        <v>163</v>
      </c>
      <c r="E68" s="82">
        <v>148</v>
      </c>
    </row>
    <row r="69" spans="3:5" x14ac:dyDescent="0.2">
      <c r="C69" s="83"/>
      <c r="D69" s="36">
        <v>167</v>
      </c>
      <c r="E69" s="84">
        <v>139</v>
      </c>
    </row>
  </sheetData>
  <mergeCells count="1">
    <mergeCell ref="Q20:Q2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 e 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Lucas</cp:lastModifiedBy>
  <cp:revision>50</cp:revision>
  <dcterms:created xsi:type="dcterms:W3CDTF">2021-10-07T15:22:39Z</dcterms:created>
  <dcterms:modified xsi:type="dcterms:W3CDTF">2021-11-19T02:17:34Z</dcterms:modified>
  <dc:language>pt-BR</dc:language>
</cp:coreProperties>
</file>